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7392" activeTab="3"/>
  </bookViews>
  <sheets>
    <sheet name="Orçamento" sheetId="1" r:id="rId1"/>
    <sheet name="Composições" sheetId="2" r:id="rId2"/>
    <sheet name="Cronograma" sheetId="3" r:id="rId3"/>
    <sheet name="BDI" sheetId="4" r:id="rId4"/>
  </sheets>
  <definedNames>
    <definedName name="_xlnm.Print_Area" localSheetId="1">'Composições'!$A$1:$G$278</definedName>
    <definedName name="_xlnm.Print_Area" localSheetId="0">'Orçamento'!$A$1:$L$65</definedName>
  </definedNames>
  <calcPr fullCalcOnLoad="1"/>
</workbook>
</file>

<file path=xl/sharedStrings.xml><?xml version="1.0" encoding="utf-8"?>
<sst xmlns="http://schemas.openxmlformats.org/spreadsheetml/2006/main" count="1006" uniqueCount="328">
  <si>
    <t>ITEM</t>
  </si>
  <si>
    <t>QUANT</t>
  </si>
  <si>
    <t>UNID</t>
  </si>
  <si>
    <t>UNIT</t>
  </si>
  <si>
    <t>TOTAL</t>
  </si>
  <si>
    <t>1.1</t>
  </si>
  <si>
    <t>2.1</t>
  </si>
  <si>
    <t>Total  do Item</t>
  </si>
  <si>
    <t>m³</t>
  </si>
  <si>
    <t xml:space="preserve">TOTAL  ORÇAMENTO </t>
  </si>
  <si>
    <t>m</t>
  </si>
  <si>
    <t>2.2</t>
  </si>
  <si>
    <t>3.1</t>
  </si>
  <si>
    <t>1.2</t>
  </si>
  <si>
    <t>m²</t>
  </si>
  <si>
    <t>3.2</t>
  </si>
  <si>
    <t>1.3</t>
  </si>
  <si>
    <t>%</t>
  </si>
  <si>
    <t>1.0</t>
  </si>
  <si>
    <t>2.0</t>
  </si>
  <si>
    <t>3.0</t>
  </si>
  <si>
    <t>TOTAL ETAPA</t>
  </si>
  <si>
    <t>MATERIAL</t>
  </si>
  <si>
    <t>MÃO DE OBRA</t>
  </si>
  <si>
    <t>SERVIÇOS</t>
  </si>
  <si>
    <t>1.4</t>
  </si>
  <si>
    <t>1.5</t>
  </si>
  <si>
    <t>1.6</t>
  </si>
  <si>
    <t>1.7</t>
  </si>
  <si>
    <t>2.3</t>
  </si>
  <si>
    <t>2.4</t>
  </si>
  <si>
    <t>2.5</t>
  </si>
  <si>
    <t>CRITÉRIOS UTILIZADOS :</t>
  </si>
  <si>
    <t>MÃO DE OBRA :</t>
  </si>
  <si>
    <t>EQUIPAMENTOS</t>
  </si>
  <si>
    <t xml:space="preserve">Bancada serra circular elétrica </t>
  </si>
  <si>
    <t xml:space="preserve">CUSTO TOTAL  VIGOTES TRELIÇADOS </t>
  </si>
  <si>
    <t>1) LIMPEZA/PASSAR DESMOLDANTE FORMA.</t>
  </si>
  <si>
    <t>2) PREPARO/LANÇAMENTO/VIBRAÇÃO CONCRETO.</t>
  </si>
  <si>
    <t>3) ESTALEIRAR FORMAS CONCRETADAS.</t>
  </si>
  <si>
    <t>4) DESFORMAR/DEPOSITAR PÁTIO.</t>
  </si>
  <si>
    <t>5)CARREGAR CAMINHÃO.</t>
  </si>
  <si>
    <t xml:space="preserve">CUSTO TOTAL  DESCARGA+LANÇAMENTO </t>
  </si>
  <si>
    <t>-</t>
  </si>
  <si>
    <t>h</t>
  </si>
  <si>
    <t>unid.</t>
  </si>
  <si>
    <t>PARÂMETROS DO BDI</t>
  </si>
  <si>
    <t>CRONOGRAMA FISICO-FINANCEIRO</t>
  </si>
  <si>
    <t>DISCRIMINAÇÃO</t>
  </si>
  <si>
    <t>Mercado</t>
  </si>
  <si>
    <t>Composição 5</t>
  </si>
  <si>
    <t>4.0</t>
  </si>
  <si>
    <t>4.1</t>
  </si>
  <si>
    <t>5.0</t>
  </si>
  <si>
    <t>5.1</t>
  </si>
  <si>
    <t>5.3</t>
  </si>
  <si>
    <t>5.5</t>
  </si>
  <si>
    <t>5.6</t>
  </si>
  <si>
    <t>5.7</t>
  </si>
  <si>
    <t>3.4</t>
  </si>
  <si>
    <t>3.3</t>
  </si>
  <si>
    <t>Composição 3</t>
  </si>
  <si>
    <t>txkm</t>
  </si>
  <si>
    <t>5.8</t>
  </si>
  <si>
    <t>Composição 6</t>
  </si>
  <si>
    <t xml:space="preserve"> UNIDADE : m</t>
  </si>
  <si>
    <t>kg</t>
  </si>
  <si>
    <t>Areia média</t>
  </si>
  <si>
    <t>Betoneira 320 L</t>
  </si>
  <si>
    <t>3.5</t>
  </si>
  <si>
    <t>Treliça TR12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</si>
  <si>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</si>
  <si>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</si>
  <si>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</si>
  <si>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</si>
  <si>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</si>
  <si>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</si>
  <si>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</si>
  <si>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Tributos (impostos COFINS 3%, e  PIS 0,65%)</t>
  </si>
  <si>
    <t>Tributos (ISS, variável de acordo com o município)</t>
  </si>
  <si>
    <t>Tributos (Contribuição Previdenciária - 0% ou 4,5%, conforme Lei 12.844/2013 - Desoneração)</t>
  </si>
  <si>
    <t>CPRB</t>
  </si>
  <si>
    <t>Montagem das longarinas com guindaste auto-propelido</t>
  </si>
  <si>
    <t>3.6</t>
  </si>
  <si>
    <t>Sacos de areia para as ensecadeiras</t>
  </si>
  <si>
    <t>TIPO DE OBRA DO EMPREENDIMENTO</t>
  </si>
  <si>
    <t>DESONERAÇÃO</t>
  </si>
  <si>
    <t>Construção de Praças Urbanas, Rodovias, Ferrovias e recapeamento e pavimentação de vias urbanas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</si>
  <si>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</si>
  <si>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</si>
  <si>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</si>
  <si>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CP</t>
  </si>
  <si>
    <t>ISS</t>
  </si>
  <si>
    <t>Os valores de BDI foram calculados com o emprego da fórmula:</t>
  </si>
  <si>
    <t>Total de Desmobilização</t>
  </si>
  <si>
    <t>Total de Mobilização</t>
  </si>
  <si>
    <t>Item</t>
  </si>
  <si>
    <t>1</t>
  </si>
  <si>
    <t>Locação de obra</t>
  </si>
  <si>
    <t>Descrição</t>
  </si>
  <si>
    <t>Unidade</t>
  </si>
  <si>
    <t>Quantidade</t>
  </si>
  <si>
    <t>Custo Unitário s/ BDI</t>
  </si>
  <si>
    <t>Custo Unitário c/ BDI</t>
  </si>
  <si>
    <t/>
  </si>
  <si>
    <t>2</t>
  </si>
  <si>
    <t>72915</t>
  </si>
  <si>
    <t>74209/001</t>
  </si>
  <si>
    <t>73992/001</t>
  </si>
  <si>
    <t>3345</t>
  </si>
  <si>
    <t>3</t>
  </si>
  <si>
    <t>74163/002</t>
  </si>
  <si>
    <t>4</t>
  </si>
  <si>
    <t>Cortina em Concreto Armado</t>
  </si>
  <si>
    <t>5</t>
  </si>
  <si>
    <t>Concreto Armado enchimento dos apoios</t>
  </si>
  <si>
    <t>Vigotes Treliçados</t>
  </si>
  <si>
    <t>7156</t>
  </si>
  <si>
    <t xml:space="preserve"> UNIDADE : unid.</t>
  </si>
  <si>
    <t>88262</t>
  </si>
  <si>
    <t>88309</t>
  </si>
  <si>
    <t>88316</t>
  </si>
  <si>
    <t>90586</t>
  </si>
  <si>
    <t>90587</t>
  </si>
  <si>
    <t>Concreto aparente, fck=25MPa "in loco"</t>
  </si>
  <si>
    <t>Transporte de Vigotes Treliçados</t>
  </si>
  <si>
    <t>BDI SEM desoneração
(Fórmula Acórdão TCU)</t>
  </si>
  <si>
    <t>BDI PAD</t>
  </si>
  <si>
    <t>BDI COM desoneração</t>
  </si>
  <si>
    <t>BDI DES</t>
  </si>
  <si>
    <t xml:space="preserve"> - 1</t>
  </si>
  <si>
    <t>MIN</t>
  </si>
  <si>
    <t>MED</t>
  </si>
  <si>
    <t>MAX</t>
  </si>
  <si>
    <t>Construção e Reforma de Edifícios</t>
  </si>
  <si>
    <t>AC</t>
  </si>
  <si>
    <t>SG</t>
  </si>
  <si>
    <t>R</t>
  </si>
  <si>
    <t>DF</t>
  </si>
  <si>
    <t>L</t>
  </si>
  <si>
    <t>Construção de Redes de Abastecimento de Água, Coleta de Esgoto</t>
  </si>
  <si>
    <t>Construção e Manutenção de Estações e Redes de Distribuição de Energia Elétrica</t>
  </si>
  <si>
    <t>Obras Portuárias, Marítimas e Fluviais</t>
  </si>
  <si>
    <t>Fornecimento de Materiais e Equipamentos</t>
  </si>
  <si>
    <t>Estudos e Projetos, Planos e Gerenciamento e outros correlatos</t>
  </si>
  <si>
    <t xml:space="preserve"> UNIDADE : m³</t>
  </si>
  <si>
    <t>Total s/ BDI</t>
  </si>
  <si>
    <t>1379</t>
  </si>
  <si>
    <t>1.8</t>
  </si>
  <si>
    <t>1.9</t>
  </si>
  <si>
    <t>1.10</t>
  </si>
  <si>
    <t>Composição 2 - Mobilização e Desmobilização</t>
  </si>
  <si>
    <t>Composição 3 - Colocação de pinos em rocha d=20,00mm</t>
  </si>
  <si>
    <t>chp</t>
  </si>
  <si>
    <t>chi</t>
  </si>
  <si>
    <t>Total do item 1</t>
  </si>
  <si>
    <t>Total do item 2</t>
  </si>
  <si>
    <t>Total do item 3</t>
  </si>
  <si>
    <t>Total do item 4</t>
  </si>
  <si>
    <t>Total do item 5</t>
  </si>
  <si>
    <t>Total do Orçamento</t>
  </si>
  <si>
    <t xml:space="preserve">Transporte de Mudanças - transporte de materiais para alojamento dos funcionarios </t>
  </si>
  <si>
    <t xml:space="preserve">Transporte dos Funcionários até o local da obra </t>
  </si>
  <si>
    <t>Caminhão basculante 6m³ - Rodo. Pavimentada - transporte de retroescavadeira</t>
  </si>
  <si>
    <t xml:space="preserve">Caminhao Carroceria 9T - Rodo. Pavimentada - transporte de materiais e equipamentos </t>
  </si>
  <si>
    <t>Caminhão basculante 6m³ - Rodo. Pavimentada - transporte de insumos</t>
  </si>
  <si>
    <t>MATERIAL c/BDI</t>
  </si>
  <si>
    <t>MÃO DE OBRA c/BDI</t>
  </si>
  <si>
    <t>Preço Total c/BDI
(R$)</t>
  </si>
  <si>
    <t>Sim</t>
  </si>
  <si>
    <t>Cimento CP II-32</t>
  </si>
  <si>
    <t>Pedra Britada 01</t>
  </si>
  <si>
    <t>Caminhao Carroceria 9T - Rodo. Pavimentada - transporte escavadeira</t>
  </si>
  <si>
    <t>Caminhao Carroceria 9T - Rodo. Pavimentada - perfuratriz e compressor de ar - perfuração em rocha</t>
  </si>
  <si>
    <t>CUSTO TOTAL S/  BDI</t>
  </si>
  <si>
    <t>CUSTO TOTAL  VIGOTES TRELIÇADOS S/BDI</t>
  </si>
  <si>
    <t>CUSTO TOTAL  DESCARGA+LANÇAMENTO S/BDI</t>
  </si>
  <si>
    <t>TOTAL S/ BDI</t>
  </si>
  <si>
    <t>Armador com encargos complementares</t>
  </si>
  <si>
    <t>1) Distância média de transporte (DMT) - 300km</t>
  </si>
  <si>
    <t>Servente com encargos complementares</t>
  </si>
  <si>
    <t xml:space="preserve">Cimento Portland </t>
  </si>
  <si>
    <t>Concretagem de vigas e laje, fck=25MPa - Lançamento, adensamento e acabamento.</t>
  </si>
  <si>
    <t>Pedreiro com encargos complementares</t>
  </si>
  <si>
    <t>M3</t>
  </si>
  <si>
    <t>88291</t>
  </si>
  <si>
    <t>H</t>
  </si>
  <si>
    <t>89278</t>
  </si>
  <si>
    <t>CHP</t>
  </si>
  <si>
    <t>370</t>
  </si>
  <si>
    <t>KG</t>
  </si>
  <si>
    <t>4718</t>
  </si>
  <si>
    <t>4721</t>
  </si>
  <si>
    <t>4.2</t>
  </si>
  <si>
    <t>Composição 4 - Concreto fck = 25MPa, virado em betoneira, sem lançamento</t>
  </si>
  <si>
    <t>CONCRETO FCK=25MPA, VIRADO EM BETONEIRA, SEM LANCAMENTO - Composição referenciada por 73972/1 de Junho/16</t>
  </si>
  <si>
    <t>composição 4</t>
  </si>
  <si>
    <t>Transporte de materiais, Aço, cimento, areia e brita - por DMT=25km</t>
  </si>
  <si>
    <t>DMT =25 km considerado no transporte de materiais</t>
  </si>
  <si>
    <t>SERVIÇOS INICIAIS</t>
  </si>
  <si>
    <t>MOVIMENTO DE TERRA</t>
  </si>
  <si>
    <t>INFRAESTRUTURA</t>
  </si>
  <si>
    <t>MESOESTRUTURA</t>
  </si>
  <si>
    <t>SUPERESTRUTURA</t>
  </si>
  <si>
    <t>Composição 5 - Concretagem de vigas e laje fck=25MPa</t>
  </si>
  <si>
    <t>Composição 6 - Vigotes Treliçados                       Dimensões: 1,00m x 0,05 m x 0,125m</t>
  </si>
  <si>
    <t>Composição 6 - Lançamento e descarga Vigotes Treliçados             Dimensões: 1,00m x 0,05 m x 0,125m</t>
  </si>
  <si>
    <t>Pilares de contraforte na cortina</t>
  </si>
  <si>
    <t>Concreto armado virado em betoneira de 25 Mpa para 1 m³ incluido materiais e lançamento</t>
  </si>
  <si>
    <t>88245</t>
  </si>
  <si>
    <t>88297</t>
  </si>
  <si>
    <t>5631</t>
  </si>
  <si>
    <t>5632</t>
  </si>
  <si>
    <t>CHI</t>
  </si>
  <si>
    <t>89876</t>
  </si>
  <si>
    <t>89877</t>
  </si>
  <si>
    <t>5.9</t>
  </si>
  <si>
    <t>Guarda roda em concreto armado</t>
  </si>
  <si>
    <t>5.8.1</t>
  </si>
  <si>
    <t>5.8.2</t>
  </si>
  <si>
    <t>5.8.3</t>
  </si>
  <si>
    <t>5.8.4</t>
  </si>
  <si>
    <t>5.8.5</t>
  </si>
  <si>
    <t>5.10</t>
  </si>
  <si>
    <t>5.11</t>
  </si>
  <si>
    <t>Escavação manual de solos</t>
  </si>
  <si>
    <t>Ensecadeira de Madeira com parede dupla</t>
  </si>
  <si>
    <t>1.17</t>
  </si>
  <si>
    <t>Total do item 5.8</t>
  </si>
  <si>
    <t>Concreto Fck=25MPa, virado em betoneira, sem lançamento</t>
  </si>
  <si>
    <t>Vibrador de imersão, diametro da ponteira de 45mm, motor eletrico de 2CV - CHI diurno</t>
  </si>
  <si>
    <t>Vibrador de imersão, diametro da ponteira de 45mm, motor eletrico de 2CV - CHP diurno</t>
  </si>
  <si>
    <t>Carpinteiro de formas com encargos complementares</t>
  </si>
  <si>
    <t>Operador de máquinas e equipamentos com encargos complementares</t>
  </si>
  <si>
    <t>Escavadeira hidráulica sobre esteiras, caçamba 0,80m³ peso operacional de 17T, potência bruta de 111 HP - CHP Diurno</t>
  </si>
  <si>
    <t>Escavadeira hidráulica sobre esteiras, caçamba 0,80m³ peso operacional de 17T, potência bruta de 111 HP - CHIP Diurno</t>
  </si>
  <si>
    <t>Caminhão basculante , com cavalo mecânico de campacidade maxima de tração de 36000 Kg, potência de 286CV, inclusive semireboque com caçamba metalica - CHP Diurno</t>
  </si>
  <si>
    <t>Caminhão basculante , com cavalo mecânico de campacidade maxima de tração de 36000 Kg, potência de 286CV, inclusive semireboque com caçamba metalica - CHI Diurno</t>
  </si>
  <si>
    <t>Compressor de ar rebocável com pressão efetiva de trabalho de 102 PSI, motor diesel, potência de 63 CV - CHP Diurno</t>
  </si>
  <si>
    <t>Composição 7</t>
  </si>
  <si>
    <t>Composição 9 - Arrasamento de tubulão de concreto D=1,00 a 1,20m</t>
  </si>
  <si>
    <t>Composição 8 - Escavação vertical a céu aberto, incluindo carga, descarga e transporte</t>
  </si>
  <si>
    <t>Ecavação vertical a céu aberto, incluindo carga, descarga e transporte, em solo de 1ª categoria com sacavadeira hidráulica</t>
  </si>
  <si>
    <t>Arrasamento de tubulão de concreto D=1,00 a 1,20m (incluindo encarregado)</t>
  </si>
  <si>
    <t>Composição 4</t>
  </si>
  <si>
    <t>Cimento portland composto CP II-32</t>
  </si>
  <si>
    <t>Mês 1</t>
  </si>
  <si>
    <t>Mês 2</t>
  </si>
  <si>
    <t>Mês 3</t>
  </si>
  <si>
    <t>Transporte de longarinas 0,25x0,90x12,00m, por rodovia pavimentada</t>
  </si>
  <si>
    <t>73890/001</t>
  </si>
  <si>
    <t>Operador de betoneira (caminhão) com encargos complementares</t>
  </si>
  <si>
    <t>Betoneira capacidade nominal de 600L, capacidade de mistura 440L, motor a diesel potência 10 HP, com carregador - CHP diurno</t>
  </si>
  <si>
    <t>Areia média - posto jazida/fornecedor (retirado na jazida, sem transporte)</t>
  </si>
  <si>
    <t>Pedra britada n° 2 (19 a 38 mm) posto pedreira/fornecedor, sem frete</t>
  </si>
  <si>
    <t>Pedra britada n° 1 (9,5 a 19 mm) posto pedreira/fornecedor, sem frete.</t>
  </si>
  <si>
    <t>Concreto fck = 25MPa, virado em betoneira, sem lançamento</t>
  </si>
  <si>
    <t>Vibrador de imersão, diâmetro de ponteria 45mm, motor elétrico trifásico potência de 2 CV -CHP diurno</t>
  </si>
  <si>
    <t>Vibrador de imersão, diâmetro de ponteria 45mm, motor elétrico trifásico potência de 2 CV -CHI diurno</t>
  </si>
  <si>
    <t>Cód. Sinapi (Março/2017)</t>
  </si>
  <si>
    <t>Composição 9</t>
  </si>
  <si>
    <t>Compressor de ar rebocável com pressão efetiva de trabalho de 102 PSI, motor diesel, potência de 63 CV - CHI Diurno</t>
  </si>
  <si>
    <t>Rompedor Pneumático com mínimo de 28 Kg, com silencionador - CHP Diurno</t>
  </si>
  <si>
    <t>Grupo gerador de 20 a 80 KVA a diesel (8h/dia x 5 dias/sem x 4 semanas/mês x 3 meses)</t>
  </si>
  <si>
    <t>Encarregado geral com encargos (8h/dia x 5 dias/sem x 4 semanas/mês x 3 meses)</t>
  </si>
  <si>
    <t>Engenherio Civil de Obra Pleno (4h/dia x 2 dias/sem x 4 semanas/mês x 3 meses)</t>
  </si>
  <si>
    <t>Tenente Portela, Maio de 2017.</t>
  </si>
  <si>
    <t>______________________________</t>
  </si>
  <si>
    <t>Cód. Sinapi (Abril/2017)</t>
  </si>
  <si>
    <t>Barracão de Obra em chapa de madeira (escritório, almoxarifado e banheiro)</t>
  </si>
  <si>
    <t>Placa de Obra em chapa de aço galvanizado</t>
  </si>
  <si>
    <t>Aço para 1m³ de concreto</t>
  </si>
  <si>
    <t>73990/001</t>
  </si>
  <si>
    <t>Colocação de pinos em rocha d=25mm - Tubulões</t>
  </si>
  <si>
    <t>Aço Ø 1" (25,00 mm) CA-50</t>
  </si>
  <si>
    <t>Escoramento de formas com madeira roliça</t>
  </si>
  <si>
    <t>Forma de tabuas de madeira para concreto em fundação com reap 2x</t>
  </si>
  <si>
    <t>Cód. Sinapi (abril/2017)</t>
  </si>
  <si>
    <t>unidade</t>
  </si>
  <si>
    <t>Composição 10</t>
  </si>
  <si>
    <t>Composição 10- Concreto armado virado em betoneira de 25 Mpa para 1 m³ incluido materiais e lançamento para viga de fundação</t>
  </si>
  <si>
    <t>Composição 11</t>
  </si>
  <si>
    <t xml:space="preserve">Composição 11- Concreto armado virado em betoneira de 25 Mpa para 1 m³ incluido materiais e lançamento para cortina </t>
  </si>
  <si>
    <t>Composição 12</t>
  </si>
  <si>
    <t>Composição 12- Concreto armado virado em betoneira de 25 Mpa para 1 m³ incluido materiais e lançamento para pilares de contraforte</t>
  </si>
  <si>
    <t>Composição 13- Concreto armado virado em betoneira de 25 Mpa para 1 m³ incluido materiais e lançamento para enchimento dos apoios</t>
  </si>
  <si>
    <t>Composição 13</t>
  </si>
  <si>
    <t>CONCRETAGEM DE VIGAS E LAJES, FCK=25 MPA, PARA QUALQUER TIPO DE LAJE COM BALDES EM EDIFICAÇÃO TÉRREA, COM ÁREA MÉDIA DE LAJES MENOR OU IGUAL A 20 M² - LANÇAMENTO, ADENSAMENTO E ACABAMENTO. AF_12/2015 - Composição referenciada por 92741 de Junho/16</t>
  </si>
  <si>
    <t>Composição 14- Concreto armado virado em betoneira de 25 Mpa para 1 m³ incluido materiais e lançamento para guarda corpo em concreto armado</t>
  </si>
  <si>
    <t>Composição 14</t>
  </si>
  <si>
    <t>Composição 15- Concreto armado virado em betoneira de 25 Mpa para 1 m³ incluido materiais e lançamento para guarda roda em concreto armado</t>
  </si>
  <si>
    <t>Composição 15</t>
  </si>
  <si>
    <t>Viga pré-fabricada em concreto armado, usinado de 35 Mpa para 1 m³ incluido materiais e lançamento</t>
  </si>
  <si>
    <t>Concreto usinado Fck=35MPa, com bombeamento, 10+-2cm</t>
  </si>
  <si>
    <t>montagem e desmontagem de forma</t>
  </si>
  <si>
    <t xml:space="preserve">Composição 16- LONGARINAS concreto 35Mpa, 0,25x0,90x12,00m </t>
  </si>
  <si>
    <t>Longarina em concreto armado fck= 35 MPa - 0,25x0,90x12,00m pré-moldada</t>
  </si>
  <si>
    <t xml:space="preserve">Perfuração em rocha d=46mm </t>
  </si>
  <si>
    <t xml:space="preserve">Tela Q 196 malha 10x10 diam 5mm </t>
  </si>
  <si>
    <t>Obra: Ponte em concreto armado de 12,00m de vão total x 8,00m de largura e 7,00m de altura total.</t>
  </si>
  <si>
    <t>Nome da obra: Ponte Rio Lajeado Cedro -  Área: 96,00m²</t>
  </si>
  <si>
    <t>Viga de Fundação em Concreto Armado 25Mpa</t>
  </si>
  <si>
    <t>Guarda Corpo em concreto armado e aço galvanizado</t>
  </si>
  <si>
    <t xml:space="preserve">Local: Ponte em concreto armado sobre o Rio Lajeado Cedro divisa com Derrubadas - Tenente Portela / RS.  </t>
  </si>
  <si>
    <t>Data Base: Abril/2017 - SINAPI Desonerada</t>
  </si>
  <si>
    <t>Tenente Portela, Junho de 2017.</t>
  </si>
  <si>
    <t>Eliandro Tiecker</t>
  </si>
  <si>
    <t xml:space="preserve">Clairton Carboni </t>
  </si>
  <si>
    <t>Engº Civil</t>
  </si>
  <si>
    <t>CREA RS 180283</t>
  </si>
  <si>
    <t>Prefeito Municipal</t>
  </si>
  <si>
    <t xml:space="preserve">BDI utilizado </t>
  </si>
  <si>
    <t>Clairton Carboni</t>
  </si>
  <si>
    <t xml:space="preserve">Composição 7- Concreto armado virado em betoneira de 25 Mpa para 1 m³ incluido materiais e lançamento para tubulão </t>
  </si>
  <si>
    <t>Tubulão escavado com perfuratriz ø1,00m interno</t>
  </si>
  <si>
    <t>Escavação tubulão com perfuratriz   ø1,00m interno</t>
  </si>
  <si>
    <t>Composição 16</t>
  </si>
  <si>
    <t>Aterro compactado para estrada com cascalhamento</t>
  </si>
  <si>
    <t xml:space="preserve"> UNIDADE : unid</t>
  </si>
  <si>
    <t>ggtg</t>
  </si>
  <si>
    <t>DMT =200 km considerado na mobilização e transporte das longarinas e vigotas</t>
  </si>
  <si>
    <t xml:space="preserve">Escavação mecânica de solo 2° categoria </t>
  </si>
  <si>
    <t>Arrasamento de tubulão de concreto d=1,00 .</t>
  </si>
  <si>
    <t>Armação de laje de concreto armado Aço CA-50.</t>
  </si>
  <si>
    <t>Montagem e desmontagem de fôrma de laje maciça.</t>
  </si>
  <si>
    <t>PLANILHA ORÇAMENTÁRIA    BÁSICA para Elaboração do PROJETO EXECUTIVO</t>
  </si>
  <si>
    <t>TABELA DE COMPOSIÇÕES BÁSICA p/ Elaboração PROJETO EXECUTIVO</t>
  </si>
  <si>
    <t>###NOTA:  "" Em Caso de ALTERAÇÕES de VALORES quando da Elaboração do PROJETO EXECUTIVO, as Liberações se darão em Conformidade com os Porcentuais acima, os quais não poderão sofrer alterações&gt;&gt;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</si>
</sst>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[$R$-416]\ * #,##0.00_-;\-[$R$-416]\ * #,##0.00_-;_-[$R$-416]\ * &quot;-&quot;??_-;_-@_-"/>
    <numFmt numFmtId="175" formatCode="[$-416]dddd\,\ d&quot; de &quot;mmmm&quot; de &quot;yyyy"/>
    <numFmt numFmtId="176" formatCode="&quot;R$&quot;\ #,##0.00"/>
    <numFmt numFmtId="177" formatCode="_(&quot;R$&quot;* #,##0.00_);_(&quot;R$&quot;* \(#,##0.00\);_(&quot;R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00000000"/>
    <numFmt numFmtId="185" formatCode="0.0%"/>
    <numFmt numFmtId="186" formatCode="_(* #,##0.000_);_(* \(#,##0.000\);_(* &quot;-&quot;??_);_(@_)"/>
    <numFmt numFmtId="187" formatCode="0.0000%"/>
    <numFmt numFmtId="188" formatCode="_(* #,##0.0000_);_(* \(#,##0.0000\);_(* &quot;-&quot;??_);_(@_)"/>
    <numFmt numFmtId="189" formatCode="_-&quot;R$&quot;\ * #,##0.000_-;\-&quot;R$&quot;\ * #,##0.000_-;_-&quot;R$&quot;\ * &quot;-&quot;??_-;_-@_-"/>
    <numFmt numFmtId="190" formatCode="_-&quot;R$&quot;\ * #,##0.0000_-;\-&quot;R$&quot;\ * #,##0.0000_-;_-&quot;R$&quot;\ * &quot;-&quot;??_-;_-@_-"/>
    <numFmt numFmtId="191" formatCode="#,##0.000"/>
    <numFmt numFmtId="192" formatCode="#,##0.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_(#,##0.00_);_(\(#,##0.00\);_(&quot;-&quot;??_);_(@_)"/>
    <numFmt numFmtId="198" formatCode="0.0"/>
    <numFmt numFmtId="199" formatCode="&quot;Ativado&quot;;&quot;Ativado&quot;;&quot;Desativado&quot;"/>
    <numFmt numFmtId="200" formatCode="#,##0.0"/>
    <numFmt numFmtId="201" formatCode="dd\ &quot;de&quot;\ mmmm\ &quot;de&quot;\ yyyy"/>
    <numFmt numFmtId="202" formatCode="_-&quot;R$&quot;\ * #,##0.000_-;\-&quot;R$&quot;\ * #,##0.000_-;_-&quot;R$&quot;\ * &quot;-&quot;???_-;_-@_-"/>
    <numFmt numFmtId="203" formatCode="_-&quot;R$&quot;\ * #,##0.0_-;\-&quot;R$&quot;\ * #,##0.0_-;_-&quot;R$&quot;\ * &quot;-&quot;??_-;_-@_-"/>
    <numFmt numFmtId="204" formatCode="_-&quot;R$&quot;\ * #,##0_-;\-&quot;R$&quot;\ * #,##0_-;_-&quot;R$&quot;\ * &quot;-&quot;??_-;_-@_-"/>
    <numFmt numFmtId="205" formatCode="_-&quot;R$&quot;\ * #,##0.00000_-;\-&quot;R$&quot;\ * #,##0.00000_-;_-&quot;R$&quot;\ * &quot;-&quot;??_-;_-@_-"/>
    <numFmt numFmtId="206" formatCode="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12"/>
      <name val="Calibri"/>
      <family val="2"/>
    </font>
    <font>
      <i/>
      <sz val="12"/>
      <name val="Calibri"/>
      <family val="2"/>
    </font>
    <font>
      <sz val="8"/>
      <color indexed="8"/>
      <name val="Courier"/>
      <family val="3"/>
    </font>
    <font>
      <b/>
      <sz val="9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5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Times New Roman"/>
      <family val="1"/>
    </font>
    <font>
      <b/>
      <sz val="10"/>
      <color indexed="3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Times New Roman"/>
      <family val="1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4" fontId="3" fillId="0" borderId="13" xfId="47" applyFont="1" applyBorder="1" applyAlignment="1">
      <alignment/>
    </xf>
    <xf numFmtId="44" fontId="2" fillId="0" borderId="11" xfId="0" applyNumberFormat="1" applyFont="1" applyBorder="1" applyAlignment="1">
      <alignment horizontal="center" vertical="center"/>
    </xf>
    <xf numFmtId="44" fontId="3" fillId="0" borderId="11" xfId="47" applyFont="1" applyBorder="1" applyAlignment="1">
      <alignment/>
    </xf>
    <xf numFmtId="44" fontId="2" fillId="0" borderId="11" xfId="47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44" fontId="3" fillId="0" borderId="18" xfId="47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52" applyFont="1" applyProtection="1">
      <alignment/>
      <protection/>
    </xf>
    <xf numFmtId="0" fontId="9" fillId="0" borderId="11" xfId="52" applyFont="1" applyFill="1" applyBorder="1" applyAlignment="1" applyProtection="1">
      <alignment horizontal="center" vertical="center"/>
      <protection/>
    </xf>
    <xf numFmtId="0" fontId="10" fillId="0" borderId="11" xfId="52" applyFont="1" applyBorder="1" applyAlignment="1" applyProtection="1">
      <alignment horizontal="center" vertical="center"/>
      <protection/>
    </xf>
    <xf numFmtId="10" fontId="10" fillId="33" borderId="11" xfId="52" applyNumberFormat="1" applyFont="1" applyFill="1" applyBorder="1" applyAlignment="1" applyProtection="1">
      <alignment horizontal="center" vertical="center"/>
      <protection locked="0"/>
    </xf>
    <xf numFmtId="4" fontId="9" fillId="0" borderId="11" xfId="52" applyNumberFormat="1" applyFont="1" applyFill="1" applyBorder="1" applyAlignment="1" applyProtection="1">
      <alignment horizontal="center" vertical="center"/>
      <protection/>
    </xf>
    <xf numFmtId="10" fontId="10" fillId="0" borderId="11" xfId="52" applyNumberFormat="1" applyFont="1" applyFill="1" applyBorder="1" applyAlignment="1" applyProtection="1">
      <alignment horizontal="center" vertical="center"/>
      <protection/>
    </xf>
    <xf numFmtId="10" fontId="10" fillId="0" borderId="11" xfId="52" applyNumberFormat="1" applyFont="1" applyFill="1" applyBorder="1" applyAlignment="1" applyProtection="1">
      <alignment horizontal="center" vertical="center" wrapText="1"/>
      <protection/>
    </xf>
    <xf numFmtId="44" fontId="0" fillId="0" borderId="11" xfId="47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0" xfId="54" applyFont="1" applyBorder="1" applyAlignment="1">
      <alignment horizontal="center" vertical="center" wrapText="1"/>
      <protection/>
    </xf>
    <xf numFmtId="0" fontId="0" fillId="0" borderId="0" xfId="52" applyFont="1" applyAlignment="1" applyProtection="1">
      <alignment horizontal="center" vertical="center"/>
      <protection/>
    </xf>
    <xf numFmtId="0" fontId="10" fillId="0" borderId="11" xfId="52" applyFont="1" applyFill="1" applyBorder="1" applyAlignment="1" applyProtection="1">
      <alignment horizontal="center" vertical="center" wrapText="1"/>
      <protection/>
    </xf>
    <xf numFmtId="0" fontId="15" fillId="0" borderId="0" xfId="52" applyFont="1" applyFill="1" applyBorder="1" applyAlignment="1" applyProtection="1">
      <alignment horizontal="center" vertical="center" wrapText="1"/>
      <protection/>
    </xf>
    <xf numFmtId="10" fontId="15" fillId="0" borderId="0" xfId="52" applyNumberFormat="1" applyFont="1" applyFill="1" applyBorder="1" applyAlignment="1" applyProtection="1">
      <alignment horizontal="center" vertical="center"/>
      <protection/>
    </xf>
    <xf numFmtId="4" fontId="9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top"/>
      <protection/>
    </xf>
    <xf numFmtId="2" fontId="16" fillId="0" borderId="19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/>
      <protection/>
    </xf>
    <xf numFmtId="0" fontId="8" fillId="0" borderId="11" xfId="52" applyFont="1" applyBorder="1" applyAlignment="1" applyProtection="1">
      <alignment horizontal="center"/>
      <protection/>
    </xf>
    <xf numFmtId="10" fontId="17" fillId="0" borderId="11" xfId="52" applyNumberFormat="1" applyFont="1" applyFill="1" applyBorder="1" applyAlignment="1" applyProtection="1">
      <alignment horizontal="center"/>
      <protection/>
    </xf>
    <xf numFmtId="0" fontId="18" fillId="0" borderId="0" xfId="52" applyFont="1" applyAlignment="1" applyProtection="1">
      <alignment/>
      <protection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10" fontId="0" fillId="0" borderId="0" xfId="56" applyNumberFormat="1" applyFont="1" applyAlignment="1" applyProtection="1">
      <alignment/>
      <protection/>
    </xf>
    <xf numFmtId="0" fontId="10" fillId="0" borderId="0" xfId="52" applyFont="1" applyProtection="1">
      <alignment/>
      <protection/>
    </xf>
    <xf numFmtId="0" fontId="10" fillId="0" borderId="0" xfId="52" applyFont="1" applyAlignment="1" applyProtection="1">
      <alignment vertical="top"/>
      <protection/>
    </xf>
    <xf numFmtId="10" fontId="17" fillId="0" borderId="20" xfId="52" applyNumberFormat="1" applyFont="1" applyFill="1" applyBorder="1" applyAlignment="1" applyProtection="1">
      <alignment horizontal="center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44" fontId="5" fillId="0" borderId="0" xfId="4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91" fontId="0" fillId="0" borderId="11" xfId="58" applyNumberFormat="1" applyFont="1" applyFill="1" applyBorder="1" applyAlignment="1">
      <alignment horizontal="center" vertical="center"/>
    </xf>
    <xf numFmtId="171" fontId="0" fillId="0" borderId="11" xfId="58" applyFont="1" applyFill="1" applyBorder="1" applyAlignment="1">
      <alignment horizontal="center" vertical="center"/>
    </xf>
    <xf numFmtId="44" fontId="0" fillId="0" borderId="11" xfId="47" applyFont="1" applyFill="1" applyBorder="1" applyAlignment="1">
      <alignment horizontal="right" vertical="center"/>
    </xf>
    <xf numFmtId="44" fontId="0" fillId="0" borderId="20" xfId="47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91" fontId="0" fillId="0" borderId="13" xfId="58" applyNumberFormat="1" applyFont="1" applyFill="1" applyBorder="1" applyAlignment="1">
      <alignment horizontal="center" vertical="center"/>
    </xf>
    <xf numFmtId="171" fontId="0" fillId="0" borderId="13" xfId="58" applyFont="1" applyFill="1" applyBorder="1" applyAlignment="1">
      <alignment horizontal="center" vertical="center"/>
    </xf>
    <xf numFmtId="44" fontId="0" fillId="0" borderId="13" xfId="47" applyFont="1" applyFill="1" applyBorder="1" applyAlignment="1">
      <alignment horizontal="right" vertical="center"/>
    </xf>
    <xf numFmtId="44" fontId="0" fillId="0" borderId="24" xfId="47" applyFont="1" applyFill="1" applyBorder="1" applyAlignment="1">
      <alignment horizontal="right" vertical="center"/>
    </xf>
    <xf numFmtId="44" fontId="8" fillId="0" borderId="25" xfId="47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vertical="center"/>
    </xf>
    <xf numFmtId="2" fontId="0" fillId="0" borderId="2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0" fillId="0" borderId="11" xfId="58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9" fillId="0" borderId="28" xfId="54" applyFont="1" applyFill="1" applyBorder="1" applyAlignment="1">
      <alignment horizontal="left" vertical="center" wrapText="1"/>
      <protection/>
    </xf>
    <xf numFmtId="0" fontId="19" fillId="0" borderId="28" xfId="54" applyFont="1" applyFill="1" applyBorder="1" applyAlignment="1">
      <alignment horizontal="center" vertical="center" wrapText="1"/>
      <protection/>
    </xf>
    <xf numFmtId="44" fontId="8" fillId="0" borderId="28" xfId="47" applyFont="1" applyFill="1" applyBorder="1" applyAlignment="1">
      <alignment horizontal="center" vertical="center"/>
    </xf>
    <xf numFmtId="44" fontId="8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1" fontId="0" fillId="0" borderId="11" xfId="58" applyFont="1" applyFill="1" applyBorder="1" applyAlignment="1">
      <alignment horizontal="right" vertical="center"/>
    </xf>
    <xf numFmtId="44" fontId="8" fillId="0" borderId="11" xfId="47" applyFont="1" applyFill="1" applyBorder="1" applyAlignment="1">
      <alignment horizontal="center" vertical="center"/>
    </xf>
    <xf numFmtId="44" fontId="8" fillId="0" borderId="20" xfId="47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vertical="center"/>
    </xf>
    <xf numFmtId="171" fontId="0" fillId="0" borderId="11" xfId="58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" fontId="0" fillId="0" borderId="11" xfId="58" applyNumberFormat="1" applyFont="1" applyFill="1" applyBorder="1" applyAlignment="1">
      <alignment horizontal="center" vertical="center"/>
    </xf>
    <xf numFmtId="0" fontId="19" fillId="0" borderId="10" xfId="54" applyFont="1" applyBorder="1" applyAlignment="1">
      <alignment horizontal="center" vertical="center" wrapText="1"/>
      <protection/>
    </xf>
    <xf numFmtId="0" fontId="19" fillId="0" borderId="11" xfId="54" applyFont="1" applyFill="1" applyBorder="1" applyAlignment="1">
      <alignment horizontal="left" vertical="center" wrapText="1"/>
      <protection/>
    </xf>
    <xf numFmtId="0" fontId="19" fillId="0" borderId="11" xfId="5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19" fillId="0" borderId="29" xfId="54" applyFont="1" applyBorder="1" applyAlignment="1">
      <alignment horizontal="center" vertical="center" wrapText="1"/>
      <protection/>
    </xf>
    <xf numFmtId="44" fontId="8" fillId="0" borderId="30" xfId="47" applyFont="1" applyFill="1" applyBorder="1" applyAlignment="1">
      <alignment horizontal="center" vertical="center"/>
    </xf>
    <xf numFmtId="44" fontId="0" fillId="0" borderId="0" xfId="47" applyFont="1" applyAlignment="1">
      <alignment horizontal="center" vertical="center"/>
    </xf>
    <xf numFmtId="0" fontId="19" fillId="0" borderId="0" xfId="54" applyFont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4" fontId="8" fillId="0" borderId="0" xfId="47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44" fontId="8" fillId="0" borderId="32" xfId="47" applyFont="1" applyFill="1" applyBorder="1" applyAlignment="1">
      <alignment vertical="center"/>
    </xf>
    <xf numFmtId="44" fontId="8" fillId="0" borderId="33" xfId="47" applyFont="1" applyFill="1" applyBorder="1" applyAlignment="1">
      <alignment vertical="center"/>
    </xf>
    <xf numFmtId="44" fontId="8" fillId="0" borderId="34" xfId="0" applyNumberFormat="1" applyFont="1" applyFill="1" applyBorder="1" applyAlignment="1">
      <alignment/>
    </xf>
    <xf numFmtId="44" fontId="8" fillId="0" borderId="35" xfId="47" applyFont="1" applyFill="1" applyBorder="1" applyAlignment="1">
      <alignment vertical="center"/>
    </xf>
    <xf numFmtId="0" fontId="6" fillId="0" borderId="0" xfId="0" applyFont="1" applyAlignment="1">
      <alignment vertical="center"/>
    </xf>
    <xf numFmtId="44" fontId="0" fillId="0" borderId="0" xfId="0" applyNumberFormat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vertical="center"/>
    </xf>
    <xf numFmtId="44" fontId="8" fillId="0" borderId="37" xfId="47" applyFont="1" applyFill="1" applyBorder="1" applyAlignment="1">
      <alignment horizontal="center" vertical="center"/>
    </xf>
    <xf numFmtId="4" fontId="0" fillId="0" borderId="28" xfId="58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38" xfId="0" applyFont="1" applyFill="1" applyBorder="1" applyAlignment="1">
      <alignment horizontal="center" vertical="center" wrapText="1"/>
    </xf>
    <xf numFmtId="44" fontId="0" fillId="0" borderId="20" xfId="47" applyNumberFormat="1" applyFont="1" applyFill="1" applyBorder="1" applyAlignment="1">
      <alignment horizontal="right" vertical="center"/>
    </xf>
    <xf numFmtId="44" fontId="0" fillId="0" borderId="24" xfId="47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19" fillId="0" borderId="11" xfId="54" applyFont="1" applyBorder="1" applyAlignment="1">
      <alignment horizontal="left" vertical="center" wrapText="1"/>
      <protection/>
    </xf>
    <xf numFmtId="44" fontId="66" fillId="0" borderId="11" xfId="47" applyFont="1" applyBorder="1" applyAlignment="1">
      <alignment horizontal="center" vertical="center"/>
    </xf>
    <xf numFmtId="44" fontId="0" fillId="0" borderId="40" xfId="0" applyNumberFormat="1" applyFont="1" applyBorder="1" applyAlignment="1">
      <alignment horizontal="center" vertical="center"/>
    </xf>
    <xf numFmtId="0" fontId="19" fillId="0" borderId="13" xfId="54" applyFont="1" applyBorder="1" applyAlignment="1">
      <alignment horizontal="left" vertical="center" wrapText="1"/>
      <protection/>
    </xf>
    <xf numFmtId="4" fontId="0" fillId="0" borderId="13" xfId="58" applyNumberFormat="1" applyFont="1" applyFill="1" applyBorder="1" applyAlignment="1">
      <alignment horizontal="center" vertical="center"/>
    </xf>
    <xf numFmtId="44" fontId="66" fillId="0" borderId="13" xfId="47" applyFont="1" applyBorder="1" applyAlignment="1">
      <alignment horizontal="center" vertical="center"/>
    </xf>
    <xf numFmtId="44" fontId="0" fillId="0" borderId="41" xfId="0" applyNumberFormat="1" applyFont="1" applyBorder="1" applyAlignment="1">
      <alignment horizontal="center" vertical="center"/>
    </xf>
    <xf numFmtId="192" fontId="0" fillId="0" borderId="11" xfId="58" applyNumberFormat="1" applyFont="1" applyFill="1" applyBorder="1" applyAlignment="1">
      <alignment horizontal="center" vertical="center"/>
    </xf>
    <xf numFmtId="44" fontId="0" fillId="0" borderId="11" xfId="47" applyFont="1" applyBorder="1" applyAlignment="1">
      <alignment horizontal="center" vertical="center"/>
    </xf>
    <xf numFmtId="192" fontId="0" fillId="0" borderId="13" xfId="58" applyNumberFormat="1" applyFont="1" applyFill="1" applyBorder="1" applyAlignment="1">
      <alignment horizontal="center" vertical="center"/>
    </xf>
    <xf numFmtId="44" fontId="0" fillId="0" borderId="13" xfId="47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191" fontId="0" fillId="0" borderId="28" xfId="58" applyNumberFormat="1" applyFont="1" applyFill="1" applyBorder="1" applyAlignment="1">
      <alignment horizontal="center" vertical="center"/>
    </xf>
    <xf numFmtId="44" fontId="0" fillId="0" borderId="28" xfId="47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44" fontId="0" fillId="0" borderId="20" xfId="0" applyNumberFormat="1" applyFont="1" applyBorder="1" applyAlignment="1">
      <alignment horizontal="center" vertical="center"/>
    </xf>
    <xf numFmtId="44" fontId="0" fillId="0" borderId="42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4" xfId="0" applyFont="1" applyFill="1" applyBorder="1" applyAlignment="1" applyProtection="1">
      <alignment horizontal="center" vertical="center" wrapText="1"/>
      <protection/>
    </xf>
    <xf numFmtId="0" fontId="8" fillId="34" borderId="4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left" vertical="center"/>
    </xf>
    <xf numFmtId="0" fontId="0" fillId="34" borderId="26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2" fontId="0" fillId="34" borderId="26" xfId="0" applyNumberFormat="1" applyFont="1" applyFill="1" applyBorder="1" applyAlignment="1">
      <alignment vertical="center"/>
    </xf>
    <xf numFmtId="2" fontId="0" fillId="34" borderId="27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4" fontId="0" fillId="34" borderId="11" xfId="68" applyNumberFormat="1" applyFont="1" applyFill="1" applyBorder="1" applyAlignment="1">
      <alignment horizontal="center" vertical="center"/>
    </xf>
    <xf numFmtId="171" fontId="0" fillId="34" borderId="11" xfId="68" applyFont="1" applyFill="1" applyBorder="1" applyAlignment="1">
      <alignment horizontal="center" vertical="center"/>
    </xf>
    <xf numFmtId="44" fontId="0" fillId="34" borderId="11" xfId="47" applyFont="1" applyFill="1" applyBorder="1" applyAlignment="1">
      <alignment horizontal="right" vertical="center"/>
    </xf>
    <xf numFmtId="44" fontId="0" fillId="34" borderId="20" xfId="47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  <xf numFmtId="4" fontId="0" fillId="34" borderId="11" xfId="58" applyNumberFormat="1" applyFont="1" applyFill="1" applyBorder="1" applyAlignment="1">
      <alignment horizontal="center" vertical="center"/>
    </xf>
    <xf numFmtId="171" fontId="0" fillId="34" borderId="11" xfId="58" applyFont="1" applyFill="1" applyBorder="1" applyAlignment="1">
      <alignment horizontal="center" vertical="center"/>
    </xf>
    <xf numFmtId="44" fontId="8" fillId="34" borderId="20" xfId="47" applyFont="1" applyFill="1" applyBorder="1" applyAlignment="1">
      <alignment horizontal="right" vertical="center"/>
    </xf>
    <xf numFmtId="0" fontId="19" fillId="34" borderId="28" xfId="54" applyFont="1" applyFill="1" applyBorder="1" applyAlignment="1">
      <alignment horizontal="center" vertical="center" wrapText="1"/>
      <protection/>
    </xf>
    <xf numFmtId="0" fontId="8" fillId="34" borderId="28" xfId="0" applyFont="1" applyFill="1" applyBorder="1" applyAlignment="1">
      <alignment horizontal="center" vertical="center"/>
    </xf>
    <xf numFmtId="0" fontId="19" fillId="34" borderId="28" xfId="54" applyFont="1" applyFill="1" applyBorder="1" applyAlignment="1">
      <alignment horizontal="left" vertical="center" wrapText="1"/>
      <protection/>
    </xf>
    <xf numFmtId="44" fontId="8" fillId="34" borderId="28" xfId="47" applyFont="1" applyFill="1" applyBorder="1" applyAlignment="1">
      <alignment horizontal="center" vertical="center"/>
    </xf>
    <xf numFmtId="44" fontId="8" fillId="34" borderId="42" xfId="47" applyFont="1" applyFill="1" applyBorder="1" applyAlignment="1">
      <alignment horizontal="right" vertical="center"/>
    </xf>
    <xf numFmtId="44" fontId="8" fillId="34" borderId="16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0" fillId="0" borderId="11" xfId="54" applyFont="1" applyBorder="1" applyAlignment="1">
      <alignment horizontal="left" vertical="center" wrapText="1"/>
      <protection/>
    </xf>
    <xf numFmtId="0" fontId="68" fillId="0" borderId="36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2" xfId="0" applyFont="1" applyBorder="1" applyAlignment="1" applyProtection="1">
      <alignment horizontal="center" vertical="center" wrapText="1"/>
      <protection/>
    </xf>
    <xf numFmtId="0" fontId="68" fillId="0" borderId="39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54" applyFont="1" applyBorder="1" applyAlignment="1">
      <alignment horizontal="left" vertical="center" wrapText="1"/>
      <protection/>
    </xf>
    <xf numFmtId="4" fontId="66" fillId="0" borderId="11" xfId="58" applyNumberFormat="1" applyFont="1" applyFill="1" applyBorder="1" applyAlignment="1">
      <alignment horizontal="center" vertical="center"/>
    </xf>
    <xf numFmtId="191" fontId="66" fillId="0" borderId="11" xfId="58" applyNumberFormat="1" applyFont="1" applyFill="1" applyBorder="1" applyAlignment="1">
      <alignment horizontal="center" vertical="center"/>
    </xf>
    <xf numFmtId="44" fontId="66" fillId="0" borderId="40" xfId="0" applyNumberFormat="1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54" applyFont="1" applyBorder="1" applyAlignment="1">
      <alignment horizontal="left" vertical="center" wrapText="1"/>
      <protection/>
    </xf>
    <xf numFmtId="4" fontId="66" fillId="0" borderId="13" xfId="58" applyNumberFormat="1" applyFont="1" applyFill="1" applyBorder="1" applyAlignment="1">
      <alignment horizontal="center" vertical="center"/>
    </xf>
    <xf numFmtId="191" fontId="66" fillId="0" borderId="13" xfId="58" applyNumberFormat="1" applyFont="1" applyFill="1" applyBorder="1" applyAlignment="1">
      <alignment horizontal="center" vertical="center"/>
    </xf>
    <xf numFmtId="44" fontId="68" fillId="0" borderId="37" xfId="47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4" fontId="68" fillId="0" borderId="0" xfId="47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4" fontId="8" fillId="35" borderId="11" xfId="0" applyNumberFormat="1" applyFont="1" applyFill="1" applyBorder="1" applyAlignment="1">
      <alignment/>
    </xf>
    <xf numFmtId="0" fontId="0" fillId="35" borderId="4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200" fontId="0" fillId="35" borderId="46" xfId="0" applyNumberFormat="1" applyFont="1" applyFill="1" applyBorder="1" applyAlignment="1">
      <alignment horizontal="center" vertical="center"/>
    </xf>
    <xf numFmtId="3" fontId="0" fillId="35" borderId="46" xfId="68" applyNumberFormat="1" applyFont="1" applyFill="1" applyBorder="1" applyAlignment="1">
      <alignment horizontal="center" vertical="center"/>
    </xf>
    <xf numFmtId="3" fontId="0" fillId="35" borderId="46" xfId="58" applyNumberFormat="1" applyFont="1" applyFill="1" applyBorder="1" applyAlignment="1">
      <alignment horizontal="center" vertical="center"/>
    </xf>
    <xf numFmtId="44" fontId="0" fillId="35" borderId="47" xfId="47" applyFont="1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/>
    </xf>
    <xf numFmtId="200" fontId="0" fillId="35" borderId="48" xfId="0" applyNumberFormat="1" applyFont="1" applyFill="1" applyBorder="1" applyAlignment="1">
      <alignment horizontal="center" vertical="center"/>
    </xf>
    <xf numFmtId="1" fontId="0" fillId="35" borderId="46" xfId="58" applyNumberFormat="1" applyFont="1" applyFill="1" applyBorder="1" applyAlignment="1">
      <alignment horizontal="center" vertical="center"/>
    </xf>
    <xf numFmtId="1" fontId="0" fillId="35" borderId="46" xfId="0" applyNumberFormat="1" applyFont="1" applyFill="1" applyBorder="1" applyAlignment="1">
      <alignment horizontal="center" vertical="center"/>
    </xf>
    <xf numFmtId="1" fontId="0" fillId="35" borderId="49" xfId="47" applyNumberFormat="1" applyFont="1" applyFill="1" applyBorder="1" applyAlignment="1">
      <alignment horizontal="right" vertical="center"/>
    </xf>
    <xf numFmtId="1" fontId="0" fillId="35" borderId="37" xfId="58" applyNumberFormat="1" applyFont="1" applyFill="1" applyBorder="1" applyAlignment="1">
      <alignment horizontal="center" vertical="center"/>
    </xf>
    <xf numFmtId="44" fontId="0" fillId="35" borderId="0" xfId="47" applyFont="1" applyFill="1" applyBorder="1" applyAlignment="1">
      <alignment horizontal="right" vertical="center"/>
    </xf>
    <xf numFmtId="44" fontId="5" fillId="35" borderId="0" xfId="47" applyFont="1" applyFill="1" applyBorder="1" applyAlignment="1">
      <alignment horizontal="right" vertical="center"/>
    </xf>
    <xf numFmtId="3" fontId="0" fillId="35" borderId="46" xfId="0" applyNumberFormat="1" applyFont="1" applyFill="1" applyBorder="1" applyAlignment="1">
      <alignment horizontal="center" vertical="center"/>
    </xf>
    <xf numFmtId="44" fontId="0" fillId="35" borderId="0" xfId="47" applyFont="1" applyFill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200" fontId="0" fillId="35" borderId="50" xfId="0" applyNumberFormat="1" applyFont="1" applyFill="1" applyBorder="1" applyAlignment="1">
      <alignment horizontal="center" vertical="center"/>
    </xf>
    <xf numFmtId="1" fontId="0" fillId="35" borderId="33" xfId="58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 applyProtection="1">
      <alignment horizontal="center" vertical="center" wrapText="1"/>
      <protection/>
    </xf>
    <xf numFmtId="1" fontId="0" fillId="35" borderId="47" xfId="58" applyNumberFormat="1" applyFont="1" applyFill="1" applyBorder="1" applyAlignment="1">
      <alignment horizontal="center" vertical="center"/>
    </xf>
    <xf numFmtId="1" fontId="0" fillId="35" borderId="33" xfId="58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center" vertical="center"/>
    </xf>
    <xf numFmtId="0" fontId="69" fillId="36" borderId="36" xfId="0" applyFont="1" applyFill="1" applyBorder="1" applyAlignment="1" applyProtection="1">
      <alignment horizontal="center" vertical="center" wrapText="1"/>
      <protection/>
    </xf>
    <xf numFmtId="0" fontId="69" fillId="36" borderId="43" xfId="0" applyFont="1" applyFill="1" applyBorder="1" applyAlignment="1" applyProtection="1">
      <alignment horizontal="center" vertical="center" wrapText="1"/>
      <protection/>
    </xf>
    <xf numFmtId="0" fontId="69" fillId="36" borderId="51" xfId="0" applyFont="1" applyFill="1" applyBorder="1" applyAlignment="1" applyProtection="1">
      <alignment horizontal="center" vertical="center" wrapText="1"/>
      <protection/>
    </xf>
    <xf numFmtId="0" fontId="69" fillId="36" borderId="5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9" fillId="37" borderId="57" xfId="0" applyFont="1" applyFill="1" applyBorder="1" applyAlignment="1">
      <alignment horizontal="left" vertical="center" wrapText="1"/>
    </xf>
    <xf numFmtId="0" fontId="69" fillId="37" borderId="58" xfId="0" applyFont="1" applyFill="1" applyBorder="1" applyAlignment="1">
      <alignment horizontal="left" vertical="center" wrapText="1"/>
    </xf>
    <xf numFmtId="0" fontId="69" fillId="37" borderId="59" xfId="0" applyFont="1" applyFill="1" applyBorder="1" applyAlignment="1">
      <alignment horizontal="left" vertical="center" wrapText="1"/>
    </xf>
    <xf numFmtId="0" fontId="68" fillId="0" borderId="22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8" fillId="35" borderId="51" xfId="0" applyFont="1" applyFill="1" applyBorder="1" applyAlignment="1" applyProtection="1">
      <alignment horizontal="center" vertical="center" wrapText="1"/>
      <protection/>
    </xf>
    <xf numFmtId="0" fontId="8" fillId="35" borderId="52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>
      <alignment horizontal="left" vertical="center" wrapText="1"/>
    </xf>
    <xf numFmtId="0" fontId="68" fillId="0" borderId="5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69" fillId="37" borderId="36" xfId="0" applyFont="1" applyFill="1" applyBorder="1" applyAlignment="1">
      <alignment horizontal="center" vertical="center"/>
    </xf>
    <xf numFmtId="0" fontId="69" fillId="37" borderId="2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9" fillId="37" borderId="36" xfId="0" applyFont="1" applyFill="1" applyBorder="1" applyAlignment="1">
      <alignment horizontal="left" vertical="center" wrapText="1"/>
    </xf>
    <xf numFmtId="0" fontId="69" fillId="37" borderId="2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69" fillId="37" borderId="14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69" fillId="37" borderId="36" xfId="0" applyFont="1" applyFill="1" applyBorder="1" applyAlignment="1">
      <alignment horizontal="center" vertical="center" wrapText="1"/>
    </xf>
    <xf numFmtId="0" fontId="69" fillId="37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68" fillId="0" borderId="60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8" fillId="35" borderId="62" xfId="0" applyFont="1" applyFill="1" applyBorder="1" applyAlignment="1" applyProtection="1">
      <alignment horizontal="center" vertical="center" wrapText="1"/>
      <protection/>
    </xf>
    <xf numFmtId="0" fontId="8" fillId="35" borderId="49" xfId="0" applyFont="1" applyFill="1" applyBorder="1" applyAlignment="1" applyProtection="1">
      <alignment horizontal="center" vertical="center" wrapText="1"/>
      <protection/>
    </xf>
    <xf numFmtId="0" fontId="68" fillId="0" borderId="31" xfId="0" applyFont="1" applyFill="1" applyBorder="1" applyAlignment="1">
      <alignment horizontal="left" vertical="center" wrapText="1"/>
    </xf>
    <xf numFmtId="0" fontId="68" fillId="0" borderId="63" xfId="0" applyFont="1" applyFill="1" applyBorder="1" applyAlignment="1">
      <alignment horizontal="left" vertical="center" wrapText="1"/>
    </xf>
    <xf numFmtId="0" fontId="68" fillId="0" borderId="32" xfId="0" applyFont="1" applyFill="1" applyBorder="1" applyAlignment="1">
      <alignment horizontal="left" vertical="center" wrapText="1"/>
    </xf>
    <xf numFmtId="0" fontId="68" fillId="0" borderId="57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7" fillId="33" borderId="27" xfId="50" applyNumberFormat="1" applyFont="1" applyFill="1" applyBorder="1" applyAlignment="1" applyProtection="1">
      <alignment horizontal="center" vertical="center"/>
      <protection locked="0"/>
    </xf>
    <xf numFmtId="170" fontId="7" fillId="33" borderId="61" xfId="50" applyNumberFormat="1" applyFont="1" applyFill="1" applyBorder="1" applyAlignment="1" applyProtection="1">
      <alignment horizontal="center" vertical="center"/>
      <protection locked="0"/>
    </xf>
    <xf numFmtId="170" fontId="7" fillId="33" borderId="67" xfId="50" applyNumberFormat="1" applyFont="1" applyFill="1" applyBorder="1" applyAlignment="1" applyProtection="1">
      <alignment horizontal="center" vertical="center"/>
      <protection locked="0"/>
    </xf>
    <xf numFmtId="0" fontId="8" fillId="0" borderId="68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8" fillId="0" borderId="69" xfId="53" applyFont="1" applyBorder="1" applyAlignment="1" applyProtection="1">
      <alignment horizontal="center" vertical="center"/>
      <protection/>
    </xf>
    <xf numFmtId="4" fontId="9" fillId="0" borderId="28" xfId="52" applyNumberFormat="1" applyFont="1" applyFill="1" applyBorder="1" applyAlignment="1" applyProtection="1">
      <alignment horizontal="center" vertical="center" wrapText="1"/>
      <protection/>
    </xf>
    <xf numFmtId="4" fontId="9" fillId="0" borderId="26" xfId="52" applyNumberFormat="1" applyFont="1" applyFill="1" applyBorder="1" applyAlignment="1" applyProtection="1">
      <alignment horizontal="center" vertical="center" wrapText="1"/>
      <protection/>
    </xf>
    <xf numFmtId="4" fontId="8" fillId="0" borderId="28" xfId="52" applyNumberFormat="1" applyFont="1" applyFill="1" applyBorder="1" applyAlignment="1" applyProtection="1">
      <alignment horizontal="center" vertical="center" wrapText="1"/>
      <protection/>
    </xf>
    <xf numFmtId="4" fontId="8" fillId="0" borderId="26" xfId="52" applyNumberFormat="1" applyFont="1" applyFill="1" applyBorder="1" applyAlignment="1" applyProtection="1">
      <alignment horizontal="center" vertical="center" wrapText="1"/>
      <protection/>
    </xf>
    <xf numFmtId="0" fontId="14" fillId="0" borderId="20" xfId="52" applyFont="1" applyBorder="1" applyAlignment="1" applyProtection="1">
      <alignment horizontal="center"/>
      <protection/>
    </xf>
    <xf numFmtId="0" fontId="14" fillId="0" borderId="55" xfId="52" applyFont="1" applyBorder="1" applyAlignment="1" applyProtection="1">
      <alignment horizontal="center"/>
      <protection/>
    </xf>
    <xf numFmtId="0" fontId="14" fillId="0" borderId="56" xfId="52" applyFont="1" applyBorder="1" applyAlignment="1" applyProtection="1">
      <alignment horizontal="center"/>
      <protection/>
    </xf>
    <xf numFmtId="10" fontId="7" fillId="33" borderId="20" xfId="52" applyNumberFormat="1" applyFont="1" applyFill="1" applyBorder="1" applyAlignment="1" applyProtection="1">
      <alignment horizontal="center"/>
      <protection locked="0"/>
    </xf>
    <xf numFmtId="10" fontId="7" fillId="33" borderId="56" xfId="52" applyNumberFormat="1" applyFont="1" applyFill="1" applyBorder="1" applyAlignment="1" applyProtection="1">
      <alignment horizontal="center"/>
      <protection locked="0"/>
    </xf>
    <xf numFmtId="0" fontId="0" fillId="0" borderId="20" xfId="52" applyFont="1" applyBorder="1" applyAlignment="1" applyProtection="1">
      <alignment horizontal="left" vertical="center" wrapText="1"/>
      <protection/>
    </xf>
    <xf numFmtId="0" fontId="0" fillId="0" borderId="55" xfId="52" applyFont="1" applyBorder="1" applyAlignment="1" applyProtection="1">
      <alignment horizontal="left" vertical="center" wrapText="1"/>
      <protection/>
    </xf>
    <xf numFmtId="0" fontId="0" fillId="0" borderId="56" xfId="52" applyFont="1" applyBorder="1" applyAlignment="1" applyProtection="1">
      <alignment horizontal="left" vertical="center" wrapText="1"/>
      <protection/>
    </xf>
    <xf numFmtId="0" fontId="70" fillId="0" borderId="17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  <xf numFmtId="0" fontId="70" fillId="0" borderId="53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4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0" borderId="41" xfId="0" applyFont="1" applyBorder="1" applyAlignment="1">
      <alignment horizontal="left" vertical="center"/>
    </xf>
    <xf numFmtId="0" fontId="68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9" fillId="0" borderId="42" xfId="52" applyFont="1" applyBorder="1" applyAlignment="1" applyProtection="1">
      <alignment horizontal="center" vertical="center"/>
      <protection/>
    </xf>
    <xf numFmtId="0" fontId="9" fillId="0" borderId="19" xfId="52" applyFont="1" applyBorder="1" applyAlignment="1" applyProtection="1">
      <alignment horizontal="center" vertical="center"/>
      <protection/>
    </xf>
    <xf numFmtId="0" fontId="9" fillId="0" borderId="70" xfId="52" applyFont="1" applyBorder="1" applyAlignment="1" applyProtection="1">
      <alignment horizontal="center" vertical="center"/>
      <protection/>
    </xf>
    <xf numFmtId="0" fontId="9" fillId="0" borderId="27" xfId="52" applyFont="1" applyBorder="1" applyAlignment="1" applyProtection="1">
      <alignment horizontal="center" vertical="center"/>
      <protection/>
    </xf>
    <xf numFmtId="0" fontId="9" fillId="0" borderId="61" xfId="52" applyFont="1" applyBorder="1" applyAlignment="1" applyProtection="1">
      <alignment horizontal="center" vertical="center"/>
      <protection/>
    </xf>
    <xf numFmtId="0" fontId="9" fillId="0" borderId="67" xfId="52" applyFont="1" applyBorder="1" applyAlignment="1" applyProtection="1">
      <alignment horizontal="center" vertical="center"/>
      <protection/>
    </xf>
    <xf numFmtId="0" fontId="9" fillId="0" borderId="28" xfId="52" applyFont="1" applyBorder="1" applyAlignment="1" applyProtection="1">
      <alignment horizontal="center" vertical="center"/>
      <protection/>
    </xf>
    <xf numFmtId="0" fontId="9" fillId="0" borderId="26" xfId="52" applyFont="1" applyBorder="1" applyAlignment="1" applyProtection="1">
      <alignment horizontal="center" vertical="center"/>
      <protection/>
    </xf>
    <xf numFmtId="0" fontId="0" fillId="33" borderId="27" xfId="52" applyFont="1" applyFill="1" applyBorder="1" applyAlignment="1" applyProtection="1">
      <alignment horizontal="center" vertical="top" wrapText="1"/>
      <protection locked="0"/>
    </xf>
    <xf numFmtId="0" fontId="0" fillId="33" borderId="67" xfId="52" applyFont="1" applyFill="1" applyBorder="1" applyAlignment="1" applyProtection="1">
      <alignment horizontal="center" vertical="top" wrapText="1"/>
      <protection locked="0"/>
    </xf>
    <xf numFmtId="0" fontId="7" fillId="0" borderId="20" xfId="52" applyFont="1" applyFill="1" applyBorder="1" applyAlignment="1" applyProtection="1">
      <alignment horizontal="left" vertical="center" wrapText="1"/>
      <protection/>
    </xf>
    <xf numFmtId="0" fontId="7" fillId="0" borderId="55" xfId="52" applyFont="1" applyFill="1" applyBorder="1" applyAlignment="1" applyProtection="1">
      <alignment horizontal="left" vertical="center" wrapText="1"/>
      <protection/>
    </xf>
    <xf numFmtId="0" fontId="7" fillId="0" borderId="56" xfId="52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7" fillId="0" borderId="20" xfId="52" applyFont="1" applyFill="1" applyBorder="1" applyAlignment="1" applyProtection="1">
      <alignment horizontal="left" vertical="center"/>
      <protection/>
    </xf>
    <xf numFmtId="0" fontId="7" fillId="0" borderId="55" xfId="52" applyFont="1" applyFill="1" applyBorder="1" applyAlignment="1" applyProtection="1">
      <alignment horizontal="left" vertical="center"/>
      <protection/>
    </xf>
    <xf numFmtId="0" fontId="7" fillId="0" borderId="56" xfId="52" applyFont="1" applyFill="1" applyBorder="1" applyAlignment="1" applyProtection="1">
      <alignment horizontal="left" vertical="center"/>
      <protection/>
    </xf>
    <xf numFmtId="0" fontId="15" fillId="0" borderId="11" xfId="52" applyFont="1" applyBorder="1" applyAlignment="1" applyProtection="1">
      <alignment horizontal="left" vertical="center" wrapText="1"/>
      <protection/>
    </xf>
    <xf numFmtId="0" fontId="0" fillId="0" borderId="0" xfId="52" applyFont="1" applyBorder="1" applyAlignment="1" applyProtection="1">
      <alignment horizontal="center" vertical="top"/>
      <protection/>
    </xf>
    <xf numFmtId="4" fontId="8" fillId="35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69" fillId="36" borderId="36" xfId="0" applyNumberFormat="1" applyFont="1" applyFill="1" applyBorder="1" applyAlignment="1" applyProtection="1">
      <alignment horizontal="center" vertical="center" wrapText="1"/>
      <protection/>
    </xf>
    <xf numFmtId="4" fontId="69" fillId="36" borderId="60" xfId="0" applyNumberFormat="1" applyFont="1" applyFill="1" applyBorder="1" applyAlignment="1" applyProtection="1">
      <alignment horizontal="center" vertical="center" wrapText="1"/>
      <protection/>
    </xf>
    <xf numFmtId="4" fontId="69" fillId="36" borderId="59" xfId="0" applyNumberFormat="1" applyFont="1" applyFill="1" applyBorder="1" applyAlignment="1" applyProtection="1">
      <alignment horizontal="center" vertical="center" wrapText="1"/>
      <protection/>
    </xf>
    <xf numFmtId="4" fontId="69" fillId="36" borderId="43" xfId="0" applyNumberFormat="1" applyFont="1" applyFill="1" applyBorder="1" applyAlignment="1" applyProtection="1">
      <alignment horizontal="center" vertical="center" wrapText="1"/>
      <protection/>
    </xf>
    <xf numFmtId="4" fontId="69" fillId="36" borderId="22" xfId="0" applyNumberFormat="1" applyFont="1" applyFill="1" applyBorder="1" applyAlignment="1" applyProtection="1">
      <alignment horizontal="center" vertical="center" wrapText="1"/>
      <protection/>
    </xf>
    <xf numFmtId="4" fontId="0" fillId="35" borderId="11" xfId="47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/>
    </xf>
    <xf numFmtId="4" fontId="8" fillId="35" borderId="11" xfId="47" applyNumberFormat="1" applyFont="1" applyFill="1" applyBorder="1" applyAlignment="1">
      <alignment horizontal="right"/>
    </xf>
    <xf numFmtId="4" fontId="0" fillId="35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35" borderId="0" xfId="0" applyNumberFormat="1" applyFill="1" applyAlignment="1">
      <alignment horizontal="right"/>
    </xf>
    <xf numFmtId="4" fontId="8" fillId="35" borderId="11" xfId="47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4" fontId="71" fillId="36" borderId="36" xfId="0" applyNumberFormat="1" applyFont="1" applyFill="1" applyBorder="1" applyAlignment="1" applyProtection="1">
      <alignment horizontal="center" vertical="center" wrapText="1"/>
      <protection/>
    </xf>
    <xf numFmtId="4" fontId="71" fillId="36" borderId="43" xfId="0" applyNumberFormat="1" applyFont="1" applyFill="1" applyBorder="1" applyAlignment="1" applyProtection="1">
      <alignment horizontal="center" vertical="center" wrapText="1"/>
      <protection/>
    </xf>
    <xf numFmtId="4" fontId="71" fillId="35" borderId="11" xfId="47" applyNumberFormat="1" applyFont="1" applyFill="1" applyBorder="1" applyAlignment="1">
      <alignment horizontal="right" vertical="center"/>
    </xf>
    <xf numFmtId="4" fontId="71" fillId="35" borderId="11" xfId="0" applyNumberFormat="1" applyFont="1" applyFill="1" applyBorder="1" applyAlignment="1">
      <alignment horizontal="right"/>
    </xf>
    <xf numFmtId="4" fontId="71" fillId="35" borderId="11" xfId="47" applyNumberFormat="1" applyFont="1" applyFill="1" applyBorder="1" applyAlignment="1">
      <alignment horizontal="right"/>
    </xf>
    <xf numFmtId="4" fontId="71" fillId="0" borderId="0" xfId="0" applyNumberFormat="1" applyFont="1" applyAlignment="1">
      <alignment horizontal="right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/>
    </xf>
    <xf numFmtId="4" fontId="8" fillId="35" borderId="18" xfId="0" applyNumberFormat="1" applyFont="1" applyFill="1" applyBorder="1" applyAlignment="1">
      <alignment/>
    </xf>
    <xf numFmtId="4" fontId="8" fillId="35" borderId="18" xfId="0" applyNumberFormat="1" applyFont="1" applyFill="1" applyBorder="1" applyAlignment="1">
      <alignment horizontal="right"/>
    </xf>
    <xf numFmtId="4" fontId="71" fillId="35" borderId="18" xfId="0" applyNumberFormat="1" applyFont="1" applyFill="1" applyBorder="1" applyAlignment="1">
      <alignment horizontal="right"/>
    </xf>
    <xf numFmtId="4" fontId="8" fillId="35" borderId="53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center" vertical="center" wrapText="1"/>
    </xf>
    <xf numFmtId="4" fontId="0" fillId="35" borderId="11" xfId="47" applyNumberFormat="1" applyFont="1" applyFill="1" applyBorder="1" applyAlignment="1">
      <alignment horizontal="right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35" borderId="13" xfId="47" applyNumberFormat="1" applyFont="1" applyFill="1" applyBorder="1" applyAlignment="1">
      <alignment horizontal="right"/>
    </xf>
    <xf numFmtId="4" fontId="71" fillId="35" borderId="13" xfId="47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/>
    </xf>
    <xf numFmtId="44" fontId="0" fillId="35" borderId="40" xfId="47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26" xfId="0" applyFont="1" applyFill="1" applyBorder="1" applyAlignment="1">
      <alignment horizontal="left" vertical="center"/>
    </xf>
    <xf numFmtId="0" fontId="0" fillId="35" borderId="71" xfId="0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/>
    </xf>
    <xf numFmtId="2" fontId="8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wrapText="1"/>
    </xf>
    <xf numFmtId="0" fontId="0" fillId="35" borderId="66" xfId="0" applyFill="1" applyBorder="1" applyAlignment="1">
      <alignment/>
    </xf>
    <xf numFmtId="0" fontId="8" fillId="35" borderId="5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4" fontId="8" fillId="35" borderId="15" xfId="47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4" fontId="8" fillId="35" borderId="0" xfId="0" applyNumberFormat="1" applyFont="1" applyFill="1" applyBorder="1" applyAlignment="1">
      <alignment horizontal="right"/>
    </xf>
    <xf numFmtId="4" fontId="71" fillId="35" borderId="0" xfId="47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 horizontal="right"/>
    </xf>
    <xf numFmtId="4" fontId="71" fillId="35" borderId="0" xfId="0" applyNumberFormat="1" applyFont="1" applyFill="1" applyAlignment="1">
      <alignment horizontal="right"/>
    </xf>
    <xf numFmtId="0" fontId="8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4" fontId="8" fillId="34" borderId="15" xfId="47" applyNumberFormat="1" applyFont="1" applyFill="1" applyBorder="1" applyAlignment="1">
      <alignment horizontal="right"/>
    </xf>
    <xf numFmtId="4" fontId="71" fillId="34" borderId="16" xfId="47" applyNumberFormat="1" applyFont="1" applyFill="1" applyBorder="1" applyAlignment="1">
      <alignment horizontal="right"/>
    </xf>
    <xf numFmtId="0" fontId="8" fillId="34" borderId="20" xfId="0" applyFont="1" applyFill="1" applyBorder="1" applyAlignment="1">
      <alignment/>
    </xf>
    <xf numFmtId="10" fontId="45" fillId="34" borderId="56" xfId="0" applyNumberFormat="1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/>
    </xf>
    <xf numFmtId="0" fontId="7" fillId="34" borderId="70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67" xfId="0" applyFont="1" applyFill="1" applyBorder="1" applyAlignment="1">
      <alignment/>
    </xf>
    <xf numFmtId="0" fontId="21" fillId="34" borderId="65" xfId="0" applyFont="1" applyFill="1" applyBorder="1" applyAlignment="1">
      <alignment horizontal="center" vertical="center" wrapText="1"/>
    </xf>
    <xf numFmtId="44" fontId="3" fillId="0" borderId="22" xfId="47" applyFont="1" applyBorder="1" applyAlignment="1">
      <alignment/>
    </xf>
    <xf numFmtId="44" fontId="3" fillId="34" borderId="25" xfId="47" applyFont="1" applyFill="1" applyBorder="1" applyAlignment="1">
      <alignment/>
    </xf>
    <xf numFmtId="10" fontId="3" fillId="34" borderId="11" xfId="56" applyNumberFormat="1" applyFont="1" applyFill="1" applyBorder="1" applyAlignment="1">
      <alignment horizontal="center" vertical="center"/>
    </xf>
    <xf numFmtId="10" fontId="3" fillId="34" borderId="18" xfId="56" applyNumberFormat="1" applyFont="1" applyFill="1" applyBorder="1" applyAlignment="1">
      <alignment horizontal="center" vertical="center"/>
    </xf>
    <xf numFmtId="10" fontId="3" fillId="34" borderId="13" xfId="56" applyNumberFormat="1" applyFont="1" applyFill="1" applyBorder="1" applyAlignment="1">
      <alignment horizontal="center" vertical="center"/>
    </xf>
    <xf numFmtId="10" fontId="3" fillId="34" borderId="24" xfId="56" applyNumberFormat="1" applyFont="1" applyFill="1" applyBorder="1" applyAlignment="1">
      <alignment horizontal="center" vertical="center"/>
    </xf>
    <xf numFmtId="10" fontId="3" fillId="34" borderId="40" xfId="56" applyNumberFormat="1" applyFont="1" applyFill="1" applyBorder="1" applyAlignment="1">
      <alignment horizontal="center" vertical="center"/>
    </xf>
    <xf numFmtId="10" fontId="3" fillId="34" borderId="53" xfId="56" applyNumberFormat="1" applyFont="1" applyFill="1" applyBorder="1" applyAlignment="1">
      <alignment horizontal="center" vertical="center"/>
    </xf>
    <xf numFmtId="10" fontId="3" fillId="34" borderId="34" xfId="56" applyNumberFormat="1" applyFont="1" applyFill="1" applyBorder="1" applyAlignment="1">
      <alignment horizontal="center" vertical="center"/>
    </xf>
    <xf numFmtId="0" fontId="46" fillId="34" borderId="57" xfId="0" applyFont="1" applyFill="1" applyBorder="1" applyAlignment="1">
      <alignment horizontal="left" wrapText="1"/>
    </xf>
    <xf numFmtId="0" fontId="0" fillId="34" borderId="58" xfId="0" applyFill="1" applyBorder="1" applyAlignment="1">
      <alignment wrapText="1"/>
    </xf>
    <xf numFmtId="0" fontId="0" fillId="34" borderId="35" xfId="0" applyFill="1" applyBorder="1" applyAlignment="1">
      <alignment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_Composicao BDI v2.1" xfId="50"/>
    <cellStyle name="Neutra" xfId="51"/>
    <cellStyle name="Normal 2" xfId="52"/>
    <cellStyle name="Normal_FICHA DE VERIFICAÇÃO PRELIMINAR - Plano R" xfId="53"/>
    <cellStyle name="Normal_Pesquisa no referencial 10 de maio de 201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</cellStyles>
  <dxfs count="33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8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workbookViewId="0" topLeftCell="A1">
      <selection activeCell="H11" sqref="H11"/>
    </sheetView>
  </sheetViews>
  <sheetFormatPr defaultColWidth="9.140625" defaultRowHeight="12.75"/>
  <cols>
    <col min="1" max="1" width="4.8515625" style="198" customWidth="1"/>
    <col min="2" max="2" width="60.140625" style="0" customWidth="1"/>
    <col min="3" max="3" width="5.57421875" style="0" customWidth="1"/>
    <col min="4" max="4" width="8.8515625" style="371" customWidth="1"/>
    <col min="5" max="5" width="9.140625" style="381" customWidth="1"/>
    <col min="6" max="6" width="9.00390625" style="382" customWidth="1"/>
    <col min="7" max="7" width="8.7109375" style="381" customWidth="1"/>
    <col min="8" max="8" width="11.7109375" style="384" customWidth="1"/>
    <col min="9" max="9" width="10.140625" style="381" customWidth="1"/>
    <col min="10" max="10" width="11.7109375" style="384" customWidth="1"/>
    <col min="11" max="11" width="11.140625" style="390" customWidth="1"/>
    <col min="12" max="12" width="12.57421875" style="0" customWidth="1"/>
  </cols>
  <sheetData>
    <row r="1" spans="1:12" ht="13.5">
      <c r="A1" s="239" t="s">
        <v>299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ht="13.5">
      <c r="A2" s="242" t="s">
        <v>303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ht="14.25" thickBot="1">
      <c r="A3" s="245" t="s">
        <v>300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7"/>
    </row>
    <row r="4" spans="1:12" ht="14.25" thickBot="1">
      <c r="A4" s="391" t="s">
        <v>325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3"/>
    </row>
    <row r="5" spans="1:12" ht="19.5" customHeight="1" thickBot="1">
      <c r="A5" s="232" t="s">
        <v>96</v>
      </c>
      <c r="B5" s="232" t="s">
        <v>99</v>
      </c>
      <c r="C5" s="232" t="s">
        <v>100</v>
      </c>
      <c r="D5" s="232" t="s">
        <v>101</v>
      </c>
      <c r="E5" s="372" t="s">
        <v>102</v>
      </c>
      <c r="F5" s="372" t="s">
        <v>103</v>
      </c>
      <c r="G5" s="373" t="s">
        <v>166</v>
      </c>
      <c r="H5" s="374"/>
      <c r="I5" s="373" t="s">
        <v>167</v>
      </c>
      <c r="J5" s="374"/>
      <c r="K5" s="385" t="s">
        <v>168</v>
      </c>
      <c r="L5" s="234" t="s">
        <v>268</v>
      </c>
    </row>
    <row r="6" spans="1:12" ht="19.5" customHeight="1" thickBot="1">
      <c r="A6" s="233"/>
      <c r="B6" s="233"/>
      <c r="C6" s="233"/>
      <c r="D6" s="233"/>
      <c r="E6" s="375"/>
      <c r="F6" s="375"/>
      <c r="G6" s="376" t="s">
        <v>3</v>
      </c>
      <c r="H6" s="376" t="s">
        <v>4</v>
      </c>
      <c r="I6" s="376" t="s">
        <v>3</v>
      </c>
      <c r="J6" s="376" t="s">
        <v>4</v>
      </c>
      <c r="K6" s="386"/>
      <c r="L6" s="235"/>
    </row>
    <row r="7" spans="1:12" s="198" customFormat="1" ht="12.75">
      <c r="A7" s="394" t="s">
        <v>97</v>
      </c>
      <c r="B7" s="395" t="s">
        <v>199</v>
      </c>
      <c r="C7" s="396"/>
      <c r="D7" s="396" t="s">
        <v>104</v>
      </c>
      <c r="E7" s="397"/>
      <c r="F7" s="397" t="s">
        <v>104</v>
      </c>
      <c r="G7" s="397"/>
      <c r="H7" s="397"/>
      <c r="I7" s="397"/>
      <c r="J7" s="397"/>
      <c r="K7" s="398" t="s">
        <v>104</v>
      </c>
      <c r="L7" s="399"/>
    </row>
    <row r="8" spans="1:12" s="206" customFormat="1" ht="26.25">
      <c r="A8" s="202" t="s">
        <v>5</v>
      </c>
      <c r="B8" s="400" t="s">
        <v>269</v>
      </c>
      <c r="C8" s="401" t="s">
        <v>14</v>
      </c>
      <c r="D8" s="402">
        <v>24</v>
      </c>
      <c r="E8" s="377">
        <v>357.41</v>
      </c>
      <c r="F8" s="377">
        <f aca="true" t="shared" si="0" ref="F8:F13">ROUND(E8*(1+$C$55),2)</f>
        <v>464.56</v>
      </c>
      <c r="G8" s="377">
        <f aca="true" t="shared" si="1" ref="G8:G13">ROUND(F8*0.6,2)</f>
        <v>278.74</v>
      </c>
      <c r="H8" s="383">
        <f aca="true" t="shared" si="2" ref="H8:H13">ROUND(D8*G8,2)</f>
        <v>6689.76</v>
      </c>
      <c r="I8" s="377">
        <f aca="true" t="shared" si="3" ref="I8:I13">ROUND(F8*0.4,2)</f>
        <v>185.82</v>
      </c>
      <c r="J8" s="383">
        <f aca="true" t="shared" si="4" ref="J8:J13">ROUND(D8*I8,2)</f>
        <v>4459.68</v>
      </c>
      <c r="K8" s="387">
        <f aca="true" t="shared" si="5" ref="K8:K13">ROUND(F8*D8,2)</f>
        <v>11149.44</v>
      </c>
      <c r="L8" s="205">
        <v>93207</v>
      </c>
    </row>
    <row r="9" spans="1:12" s="206" customFormat="1" ht="12.75">
      <c r="A9" s="202" t="s">
        <v>13</v>
      </c>
      <c r="B9" s="400" t="s">
        <v>270</v>
      </c>
      <c r="C9" s="401" t="s">
        <v>14</v>
      </c>
      <c r="D9" s="402">
        <v>2.5</v>
      </c>
      <c r="E9" s="377">
        <v>222.89</v>
      </c>
      <c r="F9" s="377">
        <f t="shared" si="0"/>
        <v>289.71</v>
      </c>
      <c r="G9" s="377">
        <f t="shared" si="1"/>
        <v>173.83</v>
      </c>
      <c r="H9" s="383">
        <f t="shared" si="2"/>
        <v>434.58</v>
      </c>
      <c r="I9" s="377">
        <f t="shared" si="3"/>
        <v>115.88</v>
      </c>
      <c r="J9" s="383">
        <f t="shared" si="4"/>
        <v>289.7</v>
      </c>
      <c r="K9" s="387">
        <f t="shared" si="5"/>
        <v>724.28</v>
      </c>
      <c r="L9" s="205" t="s">
        <v>107</v>
      </c>
    </row>
    <row r="10" spans="1:12" s="206" customFormat="1" ht="12.75">
      <c r="A10" s="202" t="s">
        <v>16</v>
      </c>
      <c r="B10" s="400" t="s">
        <v>98</v>
      </c>
      <c r="C10" s="401" t="s">
        <v>14</v>
      </c>
      <c r="D10" s="402">
        <v>96</v>
      </c>
      <c r="E10" s="377">
        <v>8.58</v>
      </c>
      <c r="F10" s="377">
        <f t="shared" si="0"/>
        <v>11.15</v>
      </c>
      <c r="G10" s="377">
        <f t="shared" si="1"/>
        <v>6.69</v>
      </c>
      <c r="H10" s="383">
        <f t="shared" si="2"/>
        <v>642.24</v>
      </c>
      <c r="I10" s="377">
        <f t="shared" si="3"/>
        <v>4.46</v>
      </c>
      <c r="J10" s="383">
        <f t="shared" si="4"/>
        <v>428.16</v>
      </c>
      <c r="K10" s="387">
        <f t="shared" si="5"/>
        <v>1070.4</v>
      </c>
      <c r="L10" s="205" t="s">
        <v>108</v>
      </c>
    </row>
    <row r="11" spans="1:12" s="206" customFormat="1" ht="26.25">
      <c r="A11" s="202" t="s">
        <v>25</v>
      </c>
      <c r="B11" s="400" t="s">
        <v>263</v>
      </c>
      <c r="C11" s="401" t="s">
        <v>44</v>
      </c>
      <c r="D11" s="402">
        <f>8*5*4*3</f>
        <v>480</v>
      </c>
      <c r="E11" s="377">
        <v>9.74</v>
      </c>
      <c r="F11" s="377">
        <f t="shared" si="0"/>
        <v>12.66</v>
      </c>
      <c r="G11" s="377">
        <f t="shared" si="1"/>
        <v>7.6</v>
      </c>
      <c r="H11" s="383">
        <f t="shared" si="2"/>
        <v>3648</v>
      </c>
      <c r="I11" s="377">
        <f t="shared" si="3"/>
        <v>5.06</v>
      </c>
      <c r="J11" s="383">
        <f t="shared" si="4"/>
        <v>2428.8</v>
      </c>
      <c r="K11" s="387">
        <f t="shared" si="5"/>
        <v>6076.8</v>
      </c>
      <c r="L11" s="205" t="s">
        <v>109</v>
      </c>
    </row>
    <row r="12" spans="1:12" s="206" customFormat="1" ht="26.25">
      <c r="A12" s="202" t="s">
        <v>26</v>
      </c>
      <c r="B12" s="400" t="s">
        <v>264</v>
      </c>
      <c r="C12" s="401" t="s">
        <v>44</v>
      </c>
      <c r="D12" s="402">
        <f>8*5*4*3</f>
        <v>480</v>
      </c>
      <c r="E12" s="377">
        <v>31.25</v>
      </c>
      <c r="F12" s="377">
        <f t="shared" si="0"/>
        <v>40.62</v>
      </c>
      <c r="G12" s="377">
        <f t="shared" si="1"/>
        <v>24.37</v>
      </c>
      <c r="H12" s="383">
        <f t="shared" si="2"/>
        <v>11697.6</v>
      </c>
      <c r="I12" s="377">
        <f t="shared" si="3"/>
        <v>16.25</v>
      </c>
      <c r="J12" s="383">
        <f t="shared" si="4"/>
        <v>7800</v>
      </c>
      <c r="K12" s="387">
        <f t="shared" si="5"/>
        <v>19497.6</v>
      </c>
      <c r="L12" s="205">
        <v>90776</v>
      </c>
    </row>
    <row r="13" spans="1:12" s="206" customFormat="1" ht="26.25">
      <c r="A13" s="202" t="s">
        <v>27</v>
      </c>
      <c r="B13" s="400" t="s">
        <v>265</v>
      </c>
      <c r="C13" s="403" t="s">
        <v>44</v>
      </c>
      <c r="D13" s="404">
        <f>4*2*4*3</f>
        <v>96</v>
      </c>
      <c r="E13" s="405">
        <v>85.31</v>
      </c>
      <c r="F13" s="377">
        <f t="shared" si="0"/>
        <v>110.89</v>
      </c>
      <c r="G13" s="377">
        <f t="shared" si="1"/>
        <v>66.53</v>
      </c>
      <c r="H13" s="383">
        <f t="shared" si="2"/>
        <v>6386.88</v>
      </c>
      <c r="I13" s="377">
        <f t="shared" si="3"/>
        <v>44.36</v>
      </c>
      <c r="J13" s="383">
        <f t="shared" si="4"/>
        <v>4258.56</v>
      </c>
      <c r="K13" s="387">
        <f t="shared" si="5"/>
        <v>10645.44</v>
      </c>
      <c r="L13" s="406">
        <v>90778</v>
      </c>
    </row>
    <row r="14" spans="1:12" s="206" customFormat="1" ht="13.5" thickBot="1">
      <c r="A14" s="407"/>
      <c r="B14" s="408" t="s">
        <v>155</v>
      </c>
      <c r="C14" s="408"/>
      <c r="D14" s="408"/>
      <c r="E14" s="408"/>
      <c r="F14" s="408"/>
      <c r="G14" s="379"/>
      <c r="H14" s="379">
        <f>SUM(H8:H13)</f>
        <v>29499.06</v>
      </c>
      <c r="I14" s="379"/>
      <c r="J14" s="379">
        <f>SUM(J8:J13)</f>
        <v>19664.9</v>
      </c>
      <c r="K14" s="389">
        <f>SUM(K8:K13)</f>
        <v>49163.96000000001</v>
      </c>
      <c r="L14" s="409"/>
    </row>
    <row r="15" spans="1:12" s="206" customFormat="1" ht="12.75">
      <c r="A15" s="394" t="s">
        <v>105</v>
      </c>
      <c r="B15" s="395" t="s">
        <v>200</v>
      </c>
      <c r="C15" s="396"/>
      <c r="D15" s="396" t="s">
        <v>104</v>
      </c>
      <c r="E15" s="397"/>
      <c r="F15" s="397" t="s">
        <v>104</v>
      </c>
      <c r="G15" s="397"/>
      <c r="H15" s="397"/>
      <c r="I15" s="397"/>
      <c r="J15" s="397"/>
      <c r="K15" s="398" t="s">
        <v>104</v>
      </c>
      <c r="L15" s="399" t="s">
        <v>104</v>
      </c>
    </row>
    <row r="16" spans="1:12" s="206" customFormat="1" ht="12.75">
      <c r="A16" s="202" t="s">
        <v>6</v>
      </c>
      <c r="B16" s="400" t="s">
        <v>226</v>
      </c>
      <c r="C16" s="401" t="s">
        <v>14</v>
      </c>
      <c r="D16" s="402">
        <v>67.14</v>
      </c>
      <c r="E16" s="377">
        <v>89.64</v>
      </c>
      <c r="F16" s="377">
        <f>ROUND(E16*(1+$C$55),2)</f>
        <v>116.51</v>
      </c>
      <c r="G16" s="377">
        <f>ROUND(F16*0.6,2)</f>
        <v>69.91</v>
      </c>
      <c r="H16" s="383">
        <f>ROUND(D16*G16,2)</f>
        <v>4693.76</v>
      </c>
      <c r="I16" s="377">
        <f>ROUND(F16*0.4,2)</f>
        <v>46.6</v>
      </c>
      <c r="J16" s="383">
        <f>ROUND(D16*I16,2)</f>
        <v>3128.72</v>
      </c>
      <c r="K16" s="387">
        <f>ROUND(F16*D16,2)</f>
        <v>7822.48</v>
      </c>
      <c r="L16" s="205" t="s">
        <v>250</v>
      </c>
    </row>
    <row r="17" spans="1:12" s="206" customFormat="1" ht="12.75">
      <c r="A17" s="202" t="s">
        <v>11</v>
      </c>
      <c r="B17" s="400" t="s">
        <v>84</v>
      </c>
      <c r="C17" s="401" t="s">
        <v>8</v>
      </c>
      <c r="D17" s="402">
        <v>28</v>
      </c>
      <c r="E17" s="377">
        <v>57.5</v>
      </c>
      <c r="F17" s="377">
        <f>ROUND(E17*(1+$C$55),2)</f>
        <v>74.74</v>
      </c>
      <c r="G17" s="377">
        <f>ROUND(F17*0.6,2)</f>
        <v>44.84</v>
      </c>
      <c r="H17" s="383">
        <f>ROUND(D17*G17,2)</f>
        <v>1255.52</v>
      </c>
      <c r="I17" s="377">
        <f>ROUND(F17*0.4,2)</f>
        <v>29.9</v>
      </c>
      <c r="J17" s="383">
        <f>ROUND(D17*I17,2)</f>
        <v>837.2</v>
      </c>
      <c r="K17" s="387">
        <f>ROUND(F17*D17,2)</f>
        <v>2092.72</v>
      </c>
      <c r="L17" s="205">
        <v>370</v>
      </c>
    </row>
    <row r="18" spans="1:12" s="206" customFormat="1" ht="12.75">
      <c r="A18" s="202" t="s">
        <v>29</v>
      </c>
      <c r="B18" s="410" t="s">
        <v>321</v>
      </c>
      <c r="C18" s="401" t="s">
        <v>8</v>
      </c>
      <c r="D18" s="402">
        <f>264.68+397.02</f>
        <v>661.7</v>
      </c>
      <c r="E18" s="377">
        <v>10.3</v>
      </c>
      <c r="F18" s="377">
        <f>ROUND(E18*(1+$C$55),2)</f>
        <v>13.39</v>
      </c>
      <c r="G18" s="377">
        <f>ROUND(F18*0.6,2)</f>
        <v>8.03</v>
      </c>
      <c r="H18" s="383">
        <f>ROUND(D18*G18,2)</f>
        <v>5313.45</v>
      </c>
      <c r="I18" s="377">
        <f>ROUND(F18*0.4,2)</f>
        <v>5.36</v>
      </c>
      <c r="J18" s="383">
        <f>ROUND(D18*I18,2)</f>
        <v>3546.71</v>
      </c>
      <c r="K18" s="387">
        <f>ROUND(F18*D18,2)</f>
        <v>8860.16</v>
      </c>
      <c r="L18" s="205" t="s">
        <v>106</v>
      </c>
    </row>
    <row r="19" spans="1:12" s="206" customFormat="1" ht="12.75">
      <c r="A19" s="202" t="s">
        <v>30</v>
      </c>
      <c r="B19" s="400" t="s">
        <v>225</v>
      </c>
      <c r="C19" s="401" t="s">
        <v>8</v>
      </c>
      <c r="D19" s="402">
        <v>20</v>
      </c>
      <c r="E19" s="377">
        <v>52.1</v>
      </c>
      <c r="F19" s="377">
        <f>ROUND(E19*(1+$C$55),2)</f>
        <v>67.72</v>
      </c>
      <c r="G19" s="377">
        <f>ROUND(F19*0.6,2)</f>
        <v>40.63</v>
      </c>
      <c r="H19" s="383">
        <f>ROUND(D19*G19,2)</f>
        <v>812.6</v>
      </c>
      <c r="I19" s="377">
        <f>ROUND(F19*0.4,2)</f>
        <v>27.09</v>
      </c>
      <c r="J19" s="383">
        <f>ROUND(D19*I19,2)</f>
        <v>541.8</v>
      </c>
      <c r="K19" s="387">
        <f>ROUND(F19*D19,2)</f>
        <v>1354.4</v>
      </c>
      <c r="L19" s="205">
        <v>93358</v>
      </c>
    </row>
    <row r="20" spans="1:12" s="206" customFormat="1" ht="12.75">
      <c r="A20" s="202" t="s">
        <v>31</v>
      </c>
      <c r="B20" s="230" t="s">
        <v>317</v>
      </c>
      <c r="C20" s="231" t="s">
        <v>8</v>
      </c>
      <c r="D20" s="370">
        <v>560</v>
      </c>
      <c r="E20" s="377">
        <v>7.39</v>
      </c>
      <c r="F20" s="377">
        <f>ROUND(E20*(1+$C$55),2)</f>
        <v>9.61</v>
      </c>
      <c r="G20" s="377">
        <f>ROUND(F20*0.6,2)</f>
        <v>5.77</v>
      </c>
      <c r="H20" s="383">
        <f>ROUND(D20*G20,2)</f>
        <v>3231.2</v>
      </c>
      <c r="I20" s="377">
        <f>ROUND(F20*0.4,2)</f>
        <v>3.84</v>
      </c>
      <c r="J20" s="383">
        <f>ROUND(D20*I20,2)</f>
        <v>2150.4</v>
      </c>
      <c r="K20" s="387">
        <f>ROUND(F20*D20,2)</f>
        <v>5381.6</v>
      </c>
      <c r="L20" s="205">
        <v>93364</v>
      </c>
    </row>
    <row r="21" spans="1:12" s="206" customFormat="1" ht="13.5" thickBot="1">
      <c r="A21" s="411"/>
      <c r="B21" s="412" t="s">
        <v>156</v>
      </c>
      <c r="C21" s="412"/>
      <c r="D21" s="412"/>
      <c r="E21" s="412"/>
      <c r="F21" s="412"/>
      <c r="G21" s="379"/>
      <c r="H21" s="413">
        <f>SUM(H16:H19)</f>
        <v>12075.33</v>
      </c>
      <c r="I21" s="379"/>
      <c r="J21" s="413">
        <f>SUM(J16:J19)</f>
        <v>8054.43</v>
      </c>
      <c r="K21" s="414">
        <f>SUM(K16:K20)</f>
        <v>25511.36</v>
      </c>
      <c r="L21" s="415"/>
    </row>
    <row r="22" spans="1:12" s="206" customFormat="1" ht="12.75">
      <c r="A22" s="394" t="s">
        <v>110</v>
      </c>
      <c r="B22" s="395" t="s">
        <v>201</v>
      </c>
      <c r="C22" s="396"/>
      <c r="D22" s="396"/>
      <c r="E22" s="397"/>
      <c r="F22" s="397"/>
      <c r="G22" s="397"/>
      <c r="H22" s="397"/>
      <c r="I22" s="397"/>
      <c r="J22" s="397"/>
      <c r="K22" s="398"/>
      <c r="L22" s="399"/>
    </row>
    <row r="23" spans="1:12" s="206" customFormat="1" ht="12.75">
      <c r="A23" s="202" t="s">
        <v>12</v>
      </c>
      <c r="B23" s="416" t="s">
        <v>297</v>
      </c>
      <c r="C23" s="401" t="s">
        <v>10</v>
      </c>
      <c r="D23" s="402">
        <v>288</v>
      </c>
      <c r="E23" s="377">
        <v>68.52</v>
      </c>
      <c r="F23" s="377">
        <f aca="true" t="shared" si="6" ref="F23:F28">ROUND(E23*(1+$C$55),2)</f>
        <v>89.06</v>
      </c>
      <c r="G23" s="377">
        <f aca="true" t="shared" si="7" ref="G23:G28">ROUND(F23*0.6,2)</f>
        <v>53.44</v>
      </c>
      <c r="H23" s="383">
        <f aca="true" t="shared" si="8" ref="H23:H28">ROUND(D23*G23,2)</f>
        <v>15390.72</v>
      </c>
      <c r="I23" s="377">
        <f aca="true" t="shared" si="9" ref="I23:I28">ROUND(F23*0.4,2)</f>
        <v>35.62</v>
      </c>
      <c r="J23" s="383">
        <f aca="true" t="shared" si="10" ref="J23:J28">ROUND(D23*I23,2)</f>
        <v>10258.56</v>
      </c>
      <c r="K23" s="387">
        <f aca="true" t="shared" si="11" ref="K23:K28">ROUND(F23*D23,2)</f>
        <v>25649.28</v>
      </c>
      <c r="L23" s="205" t="s">
        <v>111</v>
      </c>
    </row>
    <row r="24" spans="1:12" s="206" customFormat="1" ht="12.75">
      <c r="A24" s="202" t="s">
        <v>15</v>
      </c>
      <c r="B24" s="416" t="s">
        <v>273</v>
      </c>
      <c r="C24" s="401" t="s">
        <v>10</v>
      </c>
      <c r="D24" s="402">
        <v>312</v>
      </c>
      <c r="E24" s="377">
        <f>Composições!F36</f>
        <v>35.87</v>
      </c>
      <c r="F24" s="377">
        <f t="shared" si="6"/>
        <v>46.62</v>
      </c>
      <c r="G24" s="377">
        <f t="shared" si="7"/>
        <v>27.97</v>
      </c>
      <c r="H24" s="383">
        <f t="shared" si="8"/>
        <v>8726.64</v>
      </c>
      <c r="I24" s="377">
        <f t="shared" si="9"/>
        <v>18.65</v>
      </c>
      <c r="J24" s="383">
        <f t="shared" si="10"/>
        <v>5818.8</v>
      </c>
      <c r="K24" s="387">
        <f t="shared" si="11"/>
        <v>14545.44</v>
      </c>
      <c r="L24" s="205" t="s">
        <v>61</v>
      </c>
    </row>
    <row r="25" spans="1:12" s="206" customFormat="1" ht="12.75">
      <c r="A25" s="202" t="s">
        <v>60</v>
      </c>
      <c r="B25" s="417" t="s">
        <v>314</v>
      </c>
      <c r="C25" s="401" t="s">
        <v>8</v>
      </c>
      <c r="D25" s="402">
        <v>14.13</v>
      </c>
      <c r="E25" s="377">
        <v>1005.3</v>
      </c>
      <c r="F25" s="377">
        <f t="shared" si="6"/>
        <v>1306.69</v>
      </c>
      <c r="G25" s="377">
        <f t="shared" si="7"/>
        <v>784.01</v>
      </c>
      <c r="H25" s="383">
        <f t="shared" si="8"/>
        <v>11078.06</v>
      </c>
      <c r="I25" s="377">
        <f t="shared" si="9"/>
        <v>522.68</v>
      </c>
      <c r="J25" s="383">
        <f t="shared" si="10"/>
        <v>7385.47</v>
      </c>
      <c r="K25" s="387">
        <f t="shared" si="11"/>
        <v>18463.53</v>
      </c>
      <c r="L25" s="418" t="s">
        <v>239</v>
      </c>
    </row>
    <row r="26" spans="1:12" s="206" customFormat="1" ht="12.75">
      <c r="A26" s="202" t="s">
        <v>59</v>
      </c>
      <c r="B26" s="416" t="s">
        <v>315</v>
      </c>
      <c r="C26" s="401" t="s">
        <v>153</v>
      </c>
      <c r="D26" s="402">
        <v>25.5</v>
      </c>
      <c r="E26" s="377">
        <v>481.09</v>
      </c>
      <c r="F26" s="377">
        <f t="shared" si="6"/>
        <v>625.32</v>
      </c>
      <c r="G26" s="377">
        <f t="shared" si="7"/>
        <v>375.19</v>
      </c>
      <c r="H26" s="383">
        <f t="shared" si="8"/>
        <v>9567.35</v>
      </c>
      <c r="I26" s="377">
        <f t="shared" si="9"/>
        <v>250.13</v>
      </c>
      <c r="J26" s="383">
        <f t="shared" si="10"/>
        <v>6378.32</v>
      </c>
      <c r="K26" s="387">
        <f t="shared" si="11"/>
        <v>15945.66</v>
      </c>
      <c r="L26" s="205">
        <v>90680</v>
      </c>
    </row>
    <row r="27" spans="1:12" s="206" customFormat="1" ht="12.75">
      <c r="A27" s="202" t="s">
        <v>69</v>
      </c>
      <c r="B27" s="416" t="s">
        <v>322</v>
      </c>
      <c r="C27" s="401" t="s">
        <v>45</v>
      </c>
      <c r="D27" s="402">
        <v>12</v>
      </c>
      <c r="E27" s="377">
        <f>Composições!F132</f>
        <v>357.585</v>
      </c>
      <c r="F27" s="377">
        <f t="shared" si="6"/>
        <v>464.79</v>
      </c>
      <c r="G27" s="377">
        <f t="shared" si="7"/>
        <v>278.87</v>
      </c>
      <c r="H27" s="383">
        <f t="shared" si="8"/>
        <v>3346.44</v>
      </c>
      <c r="I27" s="377">
        <f t="shared" si="9"/>
        <v>185.92</v>
      </c>
      <c r="J27" s="383">
        <f t="shared" si="10"/>
        <v>2231.04</v>
      </c>
      <c r="K27" s="387">
        <f t="shared" si="11"/>
        <v>5577.48</v>
      </c>
      <c r="L27" s="205" t="s">
        <v>260</v>
      </c>
    </row>
    <row r="28" spans="1:12" s="206" customFormat="1" ht="12.75">
      <c r="A28" s="202" t="s">
        <v>83</v>
      </c>
      <c r="B28" s="419" t="s">
        <v>301</v>
      </c>
      <c r="C28" s="401" t="s">
        <v>8</v>
      </c>
      <c r="D28" s="402">
        <v>21.91</v>
      </c>
      <c r="E28" s="377">
        <f>Composições!F150</f>
        <v>1415.8317000000002</v>
      </c>
      <c r="F28" s="377">
        <f t="shared" si="6"/>
        <v>1840.3</v>
      </c>
      <c r="G28" s="377">
        <f t="shared" si="7"/>
        <v>1104.18</v>
      </c>
      <c r="H28" s="383">
        <f t="shared" si="8"/>
        <v>24192.58</v>
      </c>
      <c r="I28" s="377">
        <f t="shared" si="9"/>
        <v>736.12</v>
      </c>
      <c r="J28" s="383">
        <f t="shared" si="10"/>
        <v>16128.39</v>
      </c>
      <c r="K28" s="387">
        <f t="shared" si="11"/>
        <v>40320.97</v>
      </c>
      <c r="L28" s="418" t="s">
        <v>279</v>
      </c>
    </row>
    <row r="29" spans="1:12" s="206" customFormat="1" ht="13.5" thickBot="1">
      <c r="A29" s="411"/>
      <c r="B29" s="412" t="s">
        <v>157</v>
      </c>
      <c r="C29" s="412"/>
      <c r="D29" s="412"/>
      <c r="E29" s="412"/>
      <c r="F29" s="412"/>
      <c r="G29" s="413"/>
      <c r="H29" s="413">
        <f>SUM(H23:H28)</f>
        <v>72301.79000000001</v>
      </c>
      <c r="I29" s="413"/>
      <c r="J29" s="413">
        <f>SUM(J23:J28)</f>
        <v>48200.58</v>
      </c>
      <c r="K29" s="414">
        <f>SUM(K23:K28)</f>
        <v>120502.36</v>
      </c>
      <c r="L29" s="420"/>
    </row>
    <row r="30" spans="1:12" s="206" customFormat="1" ht="12.75">
      <c r="A30" s="394" t="s">
        <v>112</v>
      </c>
      <c r="B30" s="395" t="s">
        <v>202</v>
      </c>
      <c r="C30" s="396"/>
      <c r="D30" s="396"/>
      <c r="E30" s="397"/>
      <c r="F30" s="397"/>
      <c r="G30" s="397"/>
      <c r="H30" s="397"/>
      <c r="I30" s="397"/>
      <c r="J30" s="397"/>
      <c r="K30" s="398"/>
      <c r="L30" s="399"/>
    </row>
    <row r="31" spans="1:12" s="206" customFormat="1" ht="12.75">
      <c r="A31" s="202" t="s">
        <v>52</v>
      </c>
      <c r="B31" s="419" t="s">
        <v>113</v>
      </c>
      <c r="C31" s="401" t="s">
        <v>8</v>
      </c>
      <c r="D31" s="402">
        <v>51.85</v>
      </c>
      <c r="E31" s="377">
        <f>Composições!F168</f>
        <v>1813.1077</v>
      </c>
      <c r="F31" s="377">
        <f>ROUND(E31*(1+$C$55),2)</f>
        <v>2356.68</v>
      </c>
      <c r="G31" s="377">
        <f>ROUND(F31*0.6,2)</f>
        <v>1414.01</v>
      </c>
      <c r="H31" s="383">
        <f>ROUND(D31*G31,2)</f>
        <v>73316.42</v>
      </c>
      <c r="I31" s="377">
        <f>ROUND(F31*0.4,2)</f>
        <v>942.67</v>
      </c>
      <c r="J31" s="383">
        <f>ROUND(D31*I31,2)</f>
        <v>48877.44</v>
      </c>
      <c r="K31" s="387">
        <f>ROUND(F31*D31,2)</f>
        <v>122193.86</v>
      </c>
      <c r="L31" s="418" t="s">
        <v>281</v>
      </c>
    </row>
    <row r="32" spans="1:12" s="206" customFormat="1" ht="12.75">
      <c r="A32" s="202" t="s">
        <v>193</v>
      </c>
      <c r="B32" s="419" t="s">
        <v>207</v>
      </c>
      <c r="C32" s="401" t="s">
        <v>8</v>
      </c>
      <c r="D32" s="402">
        <v>8.32</v>
      </c>
      <c r="E32" s="377">
        <f>Composições!F185</f>
        <v>1627.1672999999996</v>
      </c>
      <c r="F32" s="377">
        <f>ROUND(E32*(1+$C$55),2)</f>
        <v>2114.99</v>
      </c>
      <c r="G32" s="377">
        <f>ROUND(F32*0.6,2)</f>
        <v>1268.99</v>
      </c>
      <c r="H32" s="383">
        <f>ROUND(D32*G32,2)</f>
        <v>10558</v>
      </c>
      <c r="I32" s="377">
        <f>ROUND(F32*0.4,2)</f>
        <v>846</v>
      </c>
      <c r="J32" s="383">
        <f>ROUND(D32*I32,2)</f>
        <v>7038.72</v>
      </c>
      <c r="K32" s="387">
        <f>ROUND(F32*D32,2)</f>
        <v>17596.72</v>
      </c>
      <c r="L32" s="418" t="s">
        <v>283</v>
      </c>
    </row>
    <row r="33" spans="1:12" s="206" customFormat="1" ht="13.5" thickBot="1">
      <c r="A33" s="411"/>
      <c r="B33" s="412" t="s">
        <v>158</v>
      </c>
      <c r="C33" s="412"/>
      <c r="D33" s="412"/>
      <c r="E33" s="412"/>
      <c r="F33" s="412"/>
      <c r="G33" s="413"/>
      <c r="H33" s="413">
        <f>SUM(H31:H32)</f>
        <v>83874.42</v>
      </c>
      <c r="I33" s="413"/>
      <c r="J33" s="413">
        <f>SUM(J31:J32)</f>
        <v>55916.16</v>
      </c>
      <c r="K33" s="414">
        <f>SUM(K31:K32)</f>
        <v>139790.58000000002</v>
      </c>
      <c r="L33" s="420"/>
    </row>
    <row r="34" spans="1:12" s="206" customFormat="1" ht="12.75">
      <c r="A34" s="394" t="s">
        <v>114</v>
      </c>
      <c r="B34" s="395" t="s">
        <v>203</v>
      </c>
      <c r="C34" s="396"/>
      <c r="D34" s="396"/>
      <c r="E34" s="397"/>
      <c r="F34" s="397"/>
      <c r="G34" s="397"/>
      <c r="H34" s="397"/>
      <c r="I34" s="397"/>
      <c r="J34" s="397"/>
      <c r="K34" s="398"/>
      <c r="L34" s="399"/>
    </row>
    <row r="35" spans="1:12" s="206" customFormat="1" ht="26.25">
      <c r="A35" s="202" t="s">
        <v>54</v>
      </c>
      <c r="B35" s="416" t="s">
        <v>296</v>
      </c>
      <c r="C35" s="401" t="s">
        <v>8</v>
      </c>
      <c r="D35" s="402">
        <f>16.2-4.93</f>
        <v>11.27</v>
      </c>
      <c r="E35" s="377">
        <f>Composições!F267</f>
        <v>2667.3664</v>
      </c>
      <c r="F35" s="377">
        <f>ROUND(E35*(1+$C$55),2)</f>
        <v>3467.04</v>
      </c>
      <c r="G35" s="377">
        <f>ROUND(F35*0.6,2)</f>
        <v>2080.22</v>
      </c>
      <c r="H35" s="383">
        <f>ROUND(D35*G35,2)</f>
        <v>23444.08</v>
      </c>
      <c r="I35" s="377">
        <f>ROUND(F35*0.4,2)</f>
        <v>1386.82</v>
      </c>
      <c r="J35" s="383">
        <f>ROUND(D35*I35,2)</f>
        <v>15629.46</v>
      </c>
      <c r="K35" s="387">
        <f>ROUND(F35*D35,2)</f>
        <v>39073.54</v>
      </c>
      <c r="L35" s="205" t="s">
        <v>316</v>
      </c>
    </row>
    <row r="36" spans="1:12" s="206" customFormat="1" ht="26.25">
      <c r="A36" s="202" t="s">
        <v>55</v>
      </c>
      <c r="B36" s="400" t="s">
        <v>249</v>
      </c>
      <c r="C36" s="401" t="s">
        <v>62</v>
      </c>
      <c r="D36" s="402">
        <v>8208</v>
      </c>
      <c r="E36" s="377">
        <v>0.61</v>
      </c>
      <c r="F36" s="377">
        <f>ROUND(E36*(1+$C$55),2)</f>
        <v>0.79</v>
      </c>
      <c r="G36" s="377">
        <f>ROUND(F36*0.6,2)</f>
        <v>0.47</v>
      </c>
      <c r="H36" s="383">
        <f>ROUND(D36*G36,2)</f>
        <v>3857.76</v>
      </c>
      <c r="I36" s="377">
        <f>ROUND(F36*0.4,2)</f>
        <v>0.32</v>
      </c>
      <c r="J36" s="383">
        <f>ROUND(D36*I36,2)</f>
        <v>2626.56</v>
      </c>
      <c r="K36" s="387">
        <f>ROUND(F36*D36,2)</f>
        <v>6484.32</v>
      </c>
      <c r="L36" s="205">
        <v>72843</v>
      </c>
    </row>
    <row r="37" spans="1:12" s="206" customFormat="1" ht="12.75">
      <c r="A37" s="202" t="s">
        <v>56</v>
      </c>
      <c r="B37" s="421" t="s">
        <v>115</v>
      </c>
      <c r="C37" s="401" t="s">
        <v>8</v>
      </c>
      <c r="D37" s="402">
        <v>3.73</v>
      </c>
      <c r="E37" s="377">
        <f>Composições!F202</f>
        <v>1460.2278000000001</v>
      </c>
      <c r="F37" s="377">
        <f>ROUND(E37*(1+$C$55),2)</f>
        <v>1898</v>
      </c>
      <c r="G37" s="377">
        <f>ROUND(F37*0.6,2)</f>
        <v>1138.8</v>
      </c>
      <c r="H37" s="383">
        <f>ROUND(D37*G37,2)</f>
        <v>4247.72</v>
      </c>
      <c r="I37" s="377">
        <f>ROUND(F37*0.4,2)</f>
        <v>759.2</v>
      </c>
      <c r="J37" s="383">
        <f>ROUND(D37*I37,2)</f>
        <v>2831.82</v>
      </c>
      <c r="K37" s="387">
        <f>ROUND(F37*D37,2)</f>
        <v>7079.54</v>
      </c>
      <c r="L37" s="418" t="s">
        <v>286</v>
      </c>
    </row>
    <row r="38" spans="1:12" s="206" customFormat="1" ht="12.75">
      <c r="A38" s="202" t="s">
        <v>57</v>
      </c>
      <c r="B38" s="419" t="s">
        <v>116</v>
      </c>
      <c r="C38" s="401" t="s">
        <v>10</v>
      </c>
      <c r="D38" s="402">
        <v>768</v>
      </c>
      <c r="E38" s="377">
        <f>Composições!F95</f>
        <v>34.73</v>
      </c>
      <c r="F38" s="377">
        <f>ROUND(E38*(1+$C$55),2)</f>
        <v>45.14</v>
      </c>
      <c r="G38" s="377">
        <f>ROUND(F38*0.6,2)</f>
        <v>27.08</v>
      </c>
      <c r="H38" s="383">
        <f>ROUND(D38*G38,2)</f>
        <v>20797.44</v>
      </c>
      <c r="I38" s="377">
        <f>ROUND(F38*0.4,2)</f>
        <v>18.06</v>
      </c>
      <c r="J38" s="383">
        <f>ROUND(D38*I38,2)</f>
        <v>13870.08</v>
      </c>
      <c r="K38" s="387">
        <f>ROUND(F38*D38,2)</f>
        <v>34667.52</v>
      </c>
      <c r="L38" s="205" t="s">
        <v>64</v>
      </c>
    </row>
    <row r="39" spans="1:12" s="206" customFormat="1" ht="12.75">
      <c r="A39" s="202" t="s">
        <v>58</v>
      </c>
      <c r="B39" s="419" t="s">
        <v>125</v>
      </c>
      <c r="C39" s="401" t="s">
        <v>62</v>
      </c>
      <c r="D39" s="402">
        <v>2611.2</v>
      </c>
      <c r="E39" s="377">
        <v>0.61</v>
      </c>
      <c r="F39" s="377">
        <f>ROUND(E39*(1+$C$55),2)</f>
        <v>0.79</v>
      </c>
      <c r="G39" s="377">
        <f>ROUND(F39*0.6,2)</f>
        <v>0.47</v>
      </c>
      <c r="H39" s="383">
        <f>ROUND(D39*G39,2)</f>
        <v>1227.26</v>
      </c>
      <c r="I39" s="377">
        <f>ROUND(F39*0.4,2)</f>
        <v>0.32</v>
      </c>
      <c r="J39" s="383">
        <f>ROUND(D39*I39,2)</f>
        <v>835.58</v>
      </c>
      <c r="K39" s="387">
        <f>ROUND(F39*D39,2)</f>
        <v>2062.85</v>
      </c>
      <c r="L39" s="205">
        <v>72843</v>
      </c>
    </row>
    <row r="40" spans="1:12" s="206" customFormat="1" ht="12.75">
      <c r="A40" s="202"/>
      <c r="B40" s="419"/>
      <c r="C40" s="401"/>
      <c r="D40" s="402"/>
      <c r="E40" s="377"/>
      <c r="F40" s="377"/>
      <c r="G40" s="377"/>
      <c r="H40" s="383"/>
      <c r="I40" s="377"/>
      <c r="J40" s="383"/>
      <c r="K40" s="387"/>
      <c r="L40" s="422"/>
    </row>
    <row r="41" spans="1:12" s="206" customFormat="1" ht="12.75">
      <c r="A41" s="199" t="s">
        <v>63</v>
      </c>
      <c r="B41" s="203" t="s">
        <v>124</v>
      </c>
      <c r="C41" s="204"/>
      <c r="D41" s="204"/>
      <c r="E41" s="378"/>
      <c r="F41" s="378"/>
      <c r="G41" s="378"/>
      <c r="H41" s="378"/>
      <c r="I41" s="378"/>
      <c r="J41" s="378"/>
      <c r="K41" s="388"/>
      <c r="L41" s="423"/>
    </row>
    <row r="42" spans="1:12" s="206" customFormat="1" ht="26.25">
      <c r="A42" s="202" t="s">
        <v>218</v>
      </c>
      <c r="B42" s="416" t="s">
        <v>182</v>
      </c>
      <c r="C42" s="401" t="s">
        <v>8</v>
      </c>
      <c r="D42" s="424">
        <v>14.4</v>
      </c>
      <c r="E42" s="377">
        <f>Composições!F61</f>
        <v>593.8199999999999</v>
      </c>
      <c r="F42" s="377">
        <f>ROUND(E42*(1+$C$55),2)</f>
        <v>771.85</v>
      </c>
      <c r="G42" s="377">
        <f>ROUND(F42*0.6,2)</f>
        <v>463.11</v>
      </c>
      <c r="H42" s="383">
        <f>ROUND(D42*G42,2)</f>
        <v>6668.78</v>
      </c>
      <c r="I42" s="377">
        <f>ROUND(F42*0.4,2)</f>
        <v>308.74</v>
      </c>
      <c r="J42" s="383">
        <f>ROUND(D42*I42,2)</f>
        <v>4445.86</v>
      </c>
      <c r="K42" s="387">
        <f>ROUND(F42*D42,2)</f>
        <v>11114.64</v>
      </c>
      <c r="L42" s="205" t="s">
        <v>50</v>
      </c>
    </row>
    <row r="43" spans="1:12" s="206" customFormat="1" ht="12.75">
      <c r="A43" s="202" t="s">
        <v>219</v>
      </c>
      <c r="B43" s="416" t="s">
        <v>323</v>
      </c>
      <c r="C43" s="401" t="s">
        <v>66</v>
      </c>
      <c r="D43" s="424">
        <v>30</v>
      </c>
      <c r="E43" s="377">
        <v>7.45</v>
      </c>
      <c r="F43" s="377">
        <f>ROUND(E43*(1+$C$55),2)</f>
        <v>9.68</v>
      </c>
      <c r="G43" s="377">
        <f>ROUND(F43*0.6,2)</f>
        <v>5.81</v>
      </c>
      <c r="H43" s="383">
        <f>ROUND(D43*G43,2)</f>
        <v>174.3</v>
      </c>
      <c r="I43" s="377">
        <f>ROUND(F43*0.4,2)</f>
        <v>3.87</v>
      </c>
      <c r="J43" s="383">
        <f>ROUND(D43*I43,2)</f>
        <v>116.1</v>
      </c>
      <c r="K43" s="387">
        <f>ROUND(F43*D43,2)</f>
        <v>290.4</v>
      </c>
      <c r="L43" s="205">
        <v>92785</v>
      </c>
    </row>
    <row r="44" spans="1:12" s="206" customFormat="1" ht="12.75">
      <c r="A44" s="202" t="s">
        <v>220</v>
      </c>
      <c r="B44" s="400" t="s">
        <v>298</v>
      </c>
      <c r="C44" s="401" t="s">
        <v>14</v>
      </c>
      <c r="D44" s="424">
        <f>12*8*1.1</f>
        <v>105.60000000000001</v>
      </c>
      <c r="E44" s="377">
        <v>14.76</v>
      </c>
      <c r="F44" s="377">
        <f>ROUND(E44*(1+$C$55),2)</f>
        <v>19.19</v>
      </c>
      <c r="G44" s="377">
        <f>ROUND(F44*0.6,2)</f>
        <v>11.51</v>
      </c>
      <c r="H44" s="383">
        <f>ROUND(D44*G44,2)</f>
        <v>1215.46</v>
      </c>
      <c r="I44" s="377">
        <f>ROUND(F44*0.4,2)</f>
        <v>7.68</v>
      </c>
      <c r="J44" s="383">
        <f>ROUND(D44*I44,2)</f>
        <v>811.01</v>
      </c>
      <c r="K44" s="387">
        <f>ROUND(F44*D44,2)</f>
        <v>2026.46</v>
      </c>
      <c r="L44" s="205" t="s">
        <v>117</v>
      </c>
    </row>
    <row r="45" spans="1:12" s="206" customFormat="1" ht="12.75">
      <c r="A45" s="202" t="s">
        <v>221</v>
      </c>
      <c r="B45" s="400" t="s">
        <v>324</v>
      </c>
      <c r="C45" s="401" t="s">
        <v>14</v>
      </c>
      <c r="D45" s="424">
        <f>((12*0.2*2)+(8*0.2*2))*1.15</f>
        <v>9.2</v>
      </c>
      <c r="E45" s="377">
        <v>152.51</v>
      </c>
      <c r="F45" s="377">
        <f>ROUND(E45*(1+$C$55),2)</f>
        <v>198.23</v>
      </c>
      <c r="G45" s="377">
        <f>ROUND(F45*0.6,2)</f>
        <v>118.94</v>
      </c>
      <c r="H45" s="383">
        <f>ROUND(D45*G45,2)</f>
        <v>1094.25</v>
      </c>
      <c r="I45" s="377">
        <f>ROUND(F45*0.4,2)</f>
        <v>79.29</v>
      </c>
      <c r="J45" s="383">
        <f>ROUND(D45*I45,2)</f>
        <v>729.47</v>
      </c>
      <c r="K45" s="387">
        <f>ROUND(F45*D45,2)</f>
        <v>1823.72</v>
      </c>
      <c r="L45" s="205">
        <v>92482</v>
      </c>
    </row>
    <row r="46" spans="1:12" s="206" customFormat="1" ht="26.25">
      <c r="A46" s="202" t="s">
        <v>222</v>
      </c>
      <c r="B46" s="416" t="s">
        <v>197</v>
      </c>
      <c r="C46" s="401" t="s">
        <v>62</v>
      </c>
      <c r="D46" s="402">
        <f>(((D43)/1000)+(D42*(1.48+1.51+0.35)))*25</f>
        <v>1203.15</v>
      </c>
      <c r="E46" s="377">
        <v>0.73</v>
      </c>
      <c r="F46" s="377">
        <f>ROUND(E46*(1+$C$55),2)</f>
        <v>0.95</v>
      </c>
      <c r="G46" s="377">
        <f>ROUND(F46*0.6,2)</f>
        <v>0.57</v>
      </c>
      <c r="H46" s="383">
        <f>ROUND(D46*G46,2)</f>
        <v>685.8</v>
      </c>
      <c r="I46" s="377">
        <f>ROUND(F46*0.4,2)</f>
        <v>0.38</v>
      </c>
      <c r="J46" s="383">
        <f>ROUND(D46*I46,2)</f>
        <v>457.2</v>
      </c>
      <c r="K46" s="387">
        <f>ROUND(F46*D46,2)</f>
        <v>1142.99</v>
      </c>
      <c r="L46" s="205">
        <v>72842</v>
      </c>
    </row>
    <row r="47" spans="1:12" s="206" customFormat="1" ht="12.75">
      <c r="A47" s="199"/>
      <c r="B47" s="248" t="s">
        <v>228</v>
      </c>
      <c r="C47" s="249"/>
      <c r="D47" s="249"/>
      <c r="E47" s="249"/>
      <c r="F47" s="250"/>
      <c r="G47" s="379"/>
      <c r="H47" s="379">
        <f>SUM(H42:H46)</f>
        <v>9838.59</v>
      </c>
      <c r="I47" s="379"/>
      <c r="J47" s="379">
        <f>SUM(J42:J46)</f>
        <v>6559.64</v>
      </c>
      <c r="K47" s="389">
        <f>SUM(K42:K46)</f>
        <v>16398.21</v>
      </c>
      <c r="L47" s="205"/>
    </row>
    <row r="48" spans="1:12" s="206" customFormat="1" ht="12.75">
      <c r="A48" s="202" t="s">
        <v>216</v>
      </c>
      <c r="B48" s="425" t="s">
        <v>82</v>
      </c>
      <c r="C48" s="401" t="s">
        <v>153</v>
      </c>
      <c r="D48" s="424">
        <v>18</v>
      </c>
      <c r="E48" s="377">
        <v>262.52</v>
      </c>
      <c r="F48" s="377">
        <f>ROUND(E48*(1+$C$55),2)</f>
        <v>341.22</v>
      </c>
      <c r="G48" s="377">
        <f>ROUND(F48*0.6,2)</f>
        <v>204.73</v>
      </c>
      <c r="H48" s="383">
        <f>ROUND(D48*G48,2)</f>
        <v>3685.14</v>
      </c>
      <c r="I48" s="377">
        <f>ROUND(F48*0.4,2)</f>
        <v>136.49</v>
      </c>
      <c r="J48" s="383">
        <f>ROUND(D48*I48,2)</f>
        <v>2456.82</v>
      </c>
      <c r="K48" s="387">
        <f>ROUND(F48*D48,2)</f>
        <v>6141.96</v>
      </c>
      <c r="L48" s="205">
        <v>93287</v>
      </c>
    </row>
    <row r="49" spans="1:12" s="206" customFormat="1" ht="12.75">
      <c r="A49" s="202" t="s">
        <v>223</v>
      </c>
      <c r="B49" s="410" t="s">
        <v>302</v>
      </c>
      <c r="C49" s="401" t="s">
        <v>8</v>
      </c>
      <c r="D49" s="424">
        <v>2.1</v>
      </c>
      <c r="E49" s="377">
        <f>Composições!F218</f>
        <v>1556.1793000000002</v>
      </c>
      <c r="F49" s="377">
        <f>ROUND(E49*(1+$C$55),2)</f>
        <v>2022.72</v>
      </c>
      <c r="G49" s="377">
        <f>ROUND(F49*0.6,2)</f>
        <v>1213.63</v>
      </c>
      <c r="H49" s="383">
        <f>ROUND(D49*G49,2)</f>
        <v>2548.62</v>
      </c>
      <c r="I49" s="377">
        <f>ROUND(F49*0.4,2)</f>
        <v>809.09</v>
      </c>
      <c r="J49" s="383">
        <f>ROUND(D49*I49,2)</f>
        <v>1699.09</v>
      </c>
      <c r="K49" s="387">
        <f>ROUND(F49*D49,2)</f>
        <v>4247.71</v>
      </c>
      <c r="L49" s="418" t="s">
        <v>289</v>
      </c>
    </row>
    <row r="50" spans="1:12" s="206" customFormat="1" ht="12.75">
      <c r="A50" s="202" t="s">
        <v>224</v>
      </c>
      <c r="B50" s="410" t="s">
        <v>217</v>
      </c>
      <c r="C50" s="401" t="s">
        <v>8</v>
      </c>
      <c r="D50" s="424">
        <v>0.42</v>
      </c>
      <c r="E50" s="377">
        <f>Composições!F234</f>
        <v>1502.7842999999998</v>
      </c>
      <c r="F50" s="377">
        <f>ROUND(E50*(1+$C$55),2)</f>
        <v>1953.32</v>
      </c>
      <c r="G50" s="377">
        <f>ROUND(F50*0.6,2)</f>
        <v>1171.99</v>
      </c>
      <c r="H50" s="383">
        <f>ROUND(D50*G50,2)</f>
        <v>492.24</v>
      </c>
      <c r="I50" s="377">
        <f>ROUND(F50*0.4,2)</f>
        <v>781.33</v>
      </c>
      <c r="J50" s="383">
        <f>ROUND(D50*I50,2)</f>
        <v>328.16</v>
      </c>
      <c r="K50" s="387">
        <f>ROUND(F50*D50,2)</f>
        <v>820.39</v>
      </c>
      <c r="L50" s="418" t="s">
        <v>291</v>
      </c>
    </row>
    <row r="51" spans="1:12" s="198" customFormat="1" ht="13.5" thickBot="1">
      <c r="A51" s="411"/>
      <c r="B51" s="412" t="s">
        <v>159</v>
      </c>
      <c r="C51" s="412"/>
      <c r="D51" s="412"/>
      <c r="E51" s="412"/>
      <c r="F51" s="412"/>
      <c r="G51" s="413"/>
      <c r="H51" s="413">
        <f>H35+H36+H37+H38+H39+H47+H48+H49+H50</f>
        <v>70138.85</v>
      </c>
      <c r="I51" s="413"/>
      <c r="J51" s="413">
        <f>J35+J36+J37+J38+J39+J47+J48+J49+J50</f>
        <v>46837.21</v>
      </c>
      <c r="K51" s="414">
        <f>K35+K36+K37+K38+K39+K47+K48+K49+K50</f>
        <v>116976.04000000002</v>
      </c>
      <c r="L51" s="426"/>
    </row>
    <row r="52" spans="1:11" s="198" customFormat="1" ht="13.5" thickBot="1">
      <c r="A52" s="427"/>
      <c r="B52" s="428" t="s">
        <v>160</v>
      </c>
      <c r="C52" s="429"/>
      <c r="D52" s="429"/>
      <c r="E52" s="429"/>
      <c r="F52" s="429"/>
      <c r="G52" s="430"/>
      <c r="H52" s="442">
        <f>H14+H21+H29+H33+H51</f>
        <v>267889.45</v>
      </c>
      <c r="I52" s="442"/>
      <c r="J52" s="442">
        <f>J14+J21+J29+J33+J51</f>
        <v>178673.28</v>
      </c>
      <c r="K52" s="443">
        <f>K14+K21+K29+K33+K51</f>
        <v>451944.30000000005</v>
      </c>
    </row>
    <row r="53" spans="1:11" s="198" customFormat="1" ht="12.75">
      <c r="A53" s="200"/>
      <c r="B53" s="431"/>
      <c r="C53" s="200"/>
      <c r="D53" s="432"/>
      <c r="E53" s="380"/>
      <c r="F53" s="380"/>
      <c r="G53" s="380"/>
      <c r="H53" s="433"/>
      <c r="I53" s="380"/>
      <c r="J53" s="433"/>
      <c r="K53" s="434"/>
    </row>
    <row r="54" spans="4:11" s="198" customFormat="1" ht="12.75">
      <c r="D54" s="435"/>
      <c r="E54" s="382"/>
      <c r="F54" s="382"/>
      <c r="G54" s="382"/>
      <c r="H54" s="436"/>
      <c r="I54" s="382"/>
      <c r="J54" s="436"/>
      <c r="K54" s="437"/>
    </row>
    <row r="55" spans="2:11" s="198" customFormat="1" ht="12.75">
      <c r="B55" s="444" t="s">
        <v>311</v>
      </c>
      <c r="C55" s="445">
        <v>0.2998</v>
      </c>
      <c r="D55" s="435"/>
      <c r="E55" s="382"/>
      <c r="F55" s="382"/>
      <c r="G55" s="382"/>
      <c r="H55" s="436"/>
      <c r="I55" s="382"/>
      <c r="J55" s="436"/>
      <c r="K55" s="437"/>
    </row>
    <row r="56" spans="2:11" s="198" customFormat="1" ht="12.75">
      <c r="B56" s="438" t="s">
        <v>304</v>
      </c>
      <c r="D56" s="435"/>
      <c r="E56" s="382"/>
      <c r="F56" s="382"/>
      <c r="G56" s="382"/>
      <c r="H56" s="436"/>
      <c r="I56" s="382"/>
      <c r="J56" s="436"/>
      <c r="K56" s="437"/>
    </row>
    <row r="57" spans="2:11" s="198" customFormat="1" ht="12.75">
      <c r="B57" s="446" t="s">
        <v>320</v>
      </c>
      <c r="C57" s="447"/>
      <c r="D57" s="435"/>
      <c r="E57" s="382"/>
      <c r="F57" s="382"/>
      <c r="G57" s="382"/>
      <c r="H57" s="436"/>
      <c r="I57" s="382"/>
      <c r="J57" s="436"/>
      <c r="K57" s="437"/>
    </row>
    <row r="58" spans="2:11" s="198" customFormat="1" ht="12.75">
      <c r="B58" s="448" t="s">
        <v>198</v>
      </c>
      <c r="C58" s="449"/>
      <c r="D58" s="435"/>
      <c r="E58" s="382"/>
      <c r="F58" s="382"/>
      <c r="G58" s="382"/>
      <c r="H58" s="436"/>
      <c r="I58" s="382"/>
      <c r="J58" s="436"/>
      <c r="K58" s="437"/>
    </row>
    <row r="59" spans="2:11" s="198" customFormat="1" ht="12.75">
      <c r="B59" s="206"/>
      <c r="D59" s="435"/>
      <c r="E59" s="382"/>
      <c r="F59" s="382"/>
      <c r="G59" s="382"/>
      <c r="H59" s="436"/>
      <c r="I59" s="382"/>
      <c r="J59" s="436"/>
      <c r="K59" s="437"/>
    </row>
    <row r="60" spans="2:11" s="198" customFormat="1" ht="12.75">
      <c r="B60" s="439" t="s">
        <v>305</v>
      </c>
      <c r="D60" s="435"/>
      <c r="E60" s="382"/>
      <c r="F60" s="382"/>
      <c r="G60" s="382"/>
      <c r="H60" s="436"/>
      <c r="I60" s="382"/>
      <c r="J60" s="436"/>
      <c r="K60" s="437"/>
    </row>
    <row r="61" spans="4:11" s="198" customFormat="1" ht="12.75">
      <c r="D61" s="435"/>
      <c r="E61" s="382"/>
      <c r="F61" s="382"/>
      <c r="G61" s="382"/>
      <c r="H61" s="436"/>
      <c r="I61" s="382"/>
      <c r="J61" s="436"/>
      <c r="K61" s="437"/>
    </row>
    <row r="62" spans="2:11" s="198" customFormat="1" ht="15">
      <c r="B62" s="440"/>
      <c r="C62" s="440"/>
      <c r="D62" s="435"/>
      <c r="E62" s="382"/>
      <c r="F62" s="382"/>
      <c r="G62" s="382"/>
      <c r="H62" s="436"/>
      <c r="I62" s="382"/>
      <c r="J62" s="436"/>
      <c r="K62" s="437"/>
    </row>
    <row r="63" spans="2:11" s="198" customFormat="1" ht="15">
      <c r="B63" s="441" t="s">
        <v>306</v>
      </c>
      <c r="C63" s="440"/>
      <c r="D63" s="435"/>
      <c r="E63" s="382"/>
      <c r="F63" s="382"/>
      <c r="G63" s="382"/>
      <c r="H63" s="436" t="s">
        <v>307</v>
      </c>
      <c r="I63" s="382"/>
      <c r="J63" s="436"/>
      <c r="K63" s="437"/>
    </row>
    <row r="64" spans="2:11" s="198" customFormat="1" ht="12.75">
      <c r="B64" s="206" t="s">
        <v>308</v>
      </c>
      <c r="D64" s="435"/>
      <c r="E64" s="382"/>
      <c r="F64" s="382"/>
      <c r="G64" s="382"/>
      <c r="H64" s="436" t="s">
        <v>310</v>
      </c>
      <c r="I64" s="382"/>
      <c r="J64" s="436"/>
      <c r="K64" s="437"/>
    </row>
    <row r="65" spans="2:11" s="198" customFormat="1" ht="12.75">
      <c r="B65" s="206" t="s">
        <v>309</v>
      </c>
      <c r="D65" s="435"/>
      <c r="E65" s="382"/>
      <c r="F65" s="382"/>
      <c r="G65" s="382"/>
      <c r="H65" s="436"/>
      <c r="I65" s="382"/>
      <c r="J65" s="436"/>
      <c r="K65" s="437"/>
    </row>
  </sheetData>
  <sheetProtection/>
  <mergeCells count="21">
    <mergeCell ref="E5:E6"/>
    <mergeCell ref="G5:H5"/>
    <mergeCell ref="B5:B6"/>
    <mergeCell ref="B14:F14"/>
    <mergeCell ref="B47:F47"/>
    <mergeCell ref="B21:F21"/>
    <mergeCell ref="L5:L6"/>
    <mergeCell ref="K5:K6"/>
    <mergeCell ref="I5:J5"/>
    <mergeCell ref="B29:F29"/>
    <mergeCell ref="C5:C6"/>
    <mergeCell ref="A1:L1"/>
    <mergeCell ref="A2:L2"/>
    <mergeCell ref="A3:L3"/>
    <mergeCell ref="A4:L4"/>
    <mergeCell ref="A5:A6"/>
    <mergeCell ref="D5:D6"/>
    <mergeCell ref="B52:F52"/>
    <mergeCell ref="F5:F6"/>
    <mergeCell ref="B33:F33"/>
    <mergeCell ref="B51:F51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80" r:id="rId1"/>
  <headerFooter>
    <oddHeader>&amp;L&amp;"Arial,Negrito"&amp;UESTADO DO RIO GRANDE DO SUL
MUNICIPIO DE TENENTE PORTELA&amp;C&amp;"Arial,Negrito"&amp;12&amp;U&gt;&gt; ANTE  PROJETO &lt;&lt;
&gt; Planilha Orçamentária  &lt;&amp;R&amp;"Arial,Negrito"&amp;UProcesso Licitatório Nr. 112/2017
Modalidade-  RDC- Nr. 01/2017</oddHeader>
  </headerFooter>
  <rowBreaks count="1" manualBreakCount="1">
    <brk id="33" max="11" man="1"/>
  </rowBreaks>
  <ignoredErrors>
    <ignoredError sqref="L18 L11 A7 L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8"/>
  <sheetViews>
    <sheetView view="pageLayout" zoomScaleSheetLayoutView="100" workbookViewId="0" topLeftCell="A85">
      <selection activeCell="A85" sqref="A85:IV85"/>
    </sheetView>
  </sheetViews>
  <sheetFormatPr defaultColWidth="9.140625" defaultRowHeight="12.75"/>
  <cols>
    <col min="1" max="1" width="11.8515625" style="0" customWidth="1"/>
    <col min="2" max="2" width="64.57421875" style="0" customWidth="1"/>
    <col min="3" max="3" width="9.140625" style="0" bestFit="1" customWidth="1"/>
    <col min="5" max="5" width="14.00390625" style="0" bestFit="1" customWidth="1"/>
    <col min="6" max="6" width="15.140625" style="0" bestFit="1" customWidth="1"/>
    <col min="7" max="7" width="12.7109375" style="206" customWidth="1"/>
    <col min="8" max="8" width="12.57421875" style="0" bestFit="1" customWidth="1"/>
    <col min="10" max="10" width="11.421875" style="0" bestFit="1" customWidth="1"/>
  </cols>
  <sheetData>
    <row r="1" spans="1:8" ht="31.5" customHeight="1" hidden="1" thickBot="1">
      <c r="A1" s="58"/>
      <c r="B1" s="58"/>
      <c r="C1" s="58"/>
      <c r="D1" s="58"/>
      <c r="E1" s="58"/>
      <c r="F1" s="58"/>
      <c r="G1" s="209"/>
      <c r="H1" s="52"/>
    </row>
    <row r="2" spans="1:8" ht="13.5" hidden="1">
      <c r="A2" s="57"/>
      <c r="B2" s="58"/>
      <c r="C2" s="58"/>
      <c r="D2" s="58"/>
      <c r="E2" s="58"/>
      <c r="F2" s="58"/>
      <c r="G2" s="209"/>
      <c r="H2" s="52"/>
    </row>
    <row r="3" spans="1:7" ht="13.5" customHeight="1" hidden="1" thickBot="1">
      <c r="A3" s="285" t="s">
        <v>151</v>
      </c>
      <c r="B3" s="286"/>
      <c r="C3" s="286"/>
      <c r="D3" s="286"/>
      <c r="E3" s="286" t="s">
        <v>118</v>
      </c>
      <c r="F3" s="287"/>
      <c r="G3" s="258" t="s">
        <v>259</v>
      </c>
    </row>
    <row r="4" spans="1:7" ht="27" hidden="1" thickBot="1">
      <c r="A4" s="152" t="s">
        <v>0</v>
      </c>
      <c r="B4" s="153" t="s">
        <v>48</v>
      </c>
      <c r="C4" s="153" t="s">
        <v>1</v>
      </c>
      <c r="D4" s="153" t="s">
        <v>2</v>
      </c>
      <c r="E4" s="154" t="s">
        <v>102</v>
      </c>
      <c r="F4" s="155" t="s">
        <v>146</v>
      </c>
      <c r="G4" s="259"/>
    </row>
    <row r="5" spans="1:7" ht="12.75" hidden="1">
      <c r="A5" s="156" t="s">
        <v>18</v>
      </c>
      <c r="B5" s="157" t="s">
        <v>34</v>
      </c>
      <c r="C5" s="158"/>
      <c r="D5" s="159"/>
      <c r="E5" s="160"/>
      <c r="F5" s="161"/>
      <c r="G5" s="210"/>
    </row>
    <row r="6" spans="1:11" ht="12.75" hidden="1">
      <c r="A6" s="162" t="s">
        <v>5</v>
      </c>
      <c r="B6" s="163" t="s">
        <v>165</v>
      </c>
      <c r="C6" s="164">
        <v>2400</v>
      </c>
      <c r="D6" s="165" t="s">
        <v>62</v>
      </c>
      <c r="E6" s="166">
        <v>0.61</v>
      </c>
      <c r="F6" s="167">
        <f aca="true" t="shared" si="0" ref="F6:F12">ROUND(C6*E6,2)</f>
        <v>1464</v>
      </c>
      <c r="G6" s="211">
        <v>72843</v>
      </c>
      <c r="I6" s="21"/>
      <c r="J6" s="21"/>
      <c r="K6" s="21"/>
    </row>
    <row r="7" spans="1:11" ht="26.25" hidden="1">
      <c r="A7" s="162" t="s">
        <v>13</v>
      </c>
      <c r="B7" s="163" t="s">
        <v>163</v>
      </c>
      <c r="C7" s="164">
        <v>2400</v>
      </c>
      <c r="D7" s="165" t="s">
        <v>62</v>
      </c>
      <c r="E7" s="166">
        <v>0.61</v>
      </c>
      <c r="F7" s="167">
        <f t="shared" si="0"/>
        <v>1464</v>
      </c>
      <c r="G7" s="211">
        <v>72843</v>
      </c>
      <c r="I7" s="21"/>
      <c r="J7" s="21"/>
      <c r="K7" s="21"/>
    </row>
    <row r="8" spans="1:11" ht="26.25" hidden="1">
      <c r="A8" s="162" t="s">
        <v>16</v>
      </c>
      <c r="B8" s="163" t="s">
        <v>164</v>
      </c>
      <c r="C8" s="164">
        <v>2700</v>
      </c>
      <c r="D8" s="165" t="s">
        <v>62</v>
      </c>
      <c r="E8" s="166">
        <v>0.48</v>
      </c>
      <c r="F8" s="167">
        <f t="shared" si="0"/>
        <v>1296</v>
      </c>
      <c r="G8" s="211">
        <v>72840</v>
      </c>
      <c r="I8" s="21"/>
      <c r="J8" s="21"/>
      <c r="K8" s="21"/>
    </row>
    <row r="9" spans="1:11" ht="12.75" hidden="1">
      <c r="A9" s="162" t="s">
        <v>25</v>
      </c>
      <c r="B9" s="163" t="s">
        <v>172</v>
      </c>
      <c r="C9" s="164">
        <v>2700</v>
      </c>
      <c r="D9" s="165" t="s">
        <v>62</v>
      </c>
      <c r="E9" s="166">
        <v>0.48</v>
      </c>
      <c r="F9" s="167">
        <f t="shared" si="0"/>
        <v>1296</v>
      </c>
      <c r="G9" s="211">
        <v>72840</v>
      </c>
      <c r="I9" s="21"/>
      <c r="J9" s="21"/>
      <c r="K9" s="21"/>
    </row>
    <row r="10" spans="1:11" ht="26.25" hidden="1">
      <c r="A10" s="162" t="s">
        <v>26</v>
      </c>
      <c r="B10" s="163" t="s">
        <v>173</v>
      </c>
      <c r="C10" s="164">
        <v>2700</v>
      </c>
      <c r="D10" s="165" t="s">
        <v>62</v>
      </c>
      <c r="E10" s="166">
        <v>0.48</v>
      </c>
      <c r="F10" s="167">
        <f>ROUND(C10*E10,2)</f>
        <v>1296</v>
      </c>
      <c r="G10" s="211">
        <v>72840</v>
      </c>
      <c r="I10" s="21"/>
      <c r="J10" s="21"/>
      <c r="K10" s="21"/>
    </row>
    <row r="11" spans="1:11" ht="12.75" hidden="1">
      <c r="A11" s="162" t="s">
        <v>27</v>
      </c>
      <c r="B11" s="163" t="s">
        <v>162</v>
      </c>
      <c r="C11" s="164">
        <v>600</v>
      </c>
      <c r="D11" s="165" t="s">
        <v>62</v>
      </c>
      <c r="E11" s="166">
        <v>0.61</v>
      </c>
      <c r="F11" s="167">
        <f t="shared" si="0"/>
        <v>366</v>
      </c>
      <c r="G11" s="211">
        <v>72843</v>
      </c>
      <c r="I11" s="21"/>
      <c r="J11" s="21"/>
      <c r="K11" s="21"/>
    </row>
    <row r="12" spans="1:11" ht="26.25" hidden="1">
      <c r="A12" s="162" t="s">
        <v>28</v>
      </c>
      <c r="B12" s="163" t="s">
        <v>161</v>
      </c>
      <c r="C12" s="164">
        <v>900</v>
      </c>
      <c r="D12" s="165" t="s">
        <v>62</v>
      </c>
      <c r="E12" s="166">
        <v>0.61</v>
      </c>
      <c r="F12" s="167">
        <f t="shared" si="0"/>
        <v>549</v>
      </c>
      <c r="G12" s="211">
        <v>72843</v>
      </c>
      <c r="I12" s="21"/>
      <c r="J12" s="21"/>
      <c r="K12" s="21"/>
    </row>
    <row r="13" spans="1:7" ht="12.75" hidden="1">
      <c r="A13" s="162"/>
      <c r="B13" s="168" t="s">
        <v>95</v>
      </c>
      <c r="C13" s="169"/>
      <c r="D13" s="170"/>
      <c r="E13" s="166"/>
      <c r="F13" s="171">
        <f>SUM(F6:F12)</f>
        <v>7731</v>
      </c>
      <c r="G13" s="212"/>
    </row>
    <row r="14" spans="1:7" ht="13.5" hidden="1" thickBot="1">
      <c r="A14" s="172"/>
      <c r="B14" s="173" t="s">
        <v>94</v>
      </c>
      <c r="C14" s="174"/>
      <c r="D14" s="172"/>
      <c r="E14" s="175"/>
      <c r="F14" s="176">
        <f>F13</f>
        <v>7731</v>
      </c>
      <c r="G14" s="213"/>
    </row>
    <row r="15" spans="1:7" ht="14.25" hidden="1" thickBot="1">
      <c r="A15" s="285" t="s">
        <v>174</v>
      </c>
      <c r="B15" s="286"/>
      <c r="C15" s="286"/>
      <c r="D15" s="286"/>
      <c r="E15" s="286"/>
      <c r="F15" s="177">
        <f>F13+F14</f>
        <v>15462</v>
      </c>
      <c r="G15" s="214"/>
    </row>
    <row r="16" spans="1:6" ht="12.75" hidden="1">
      <c r="A16" s="178"/>
      <c r="B16" s="179" t="s">
        <v>32</v>
      </c>
      <c r="C16" s="178"/>
      <c r="D16" s="178"/>
      <c r="E16" s="178"/>
      <c r="F16" s="178"/>
    </row>
    <row r="17" spans="1:6" ht="12.75" hidden="1">
      <c r="A17" s="20"/>
      <c r="B17" s="92" t="s">
        <v>179</v>
      </c>
      <c r="C17" s="20"/>
      <c r="D17" s="20"/>
      <c r="E17" s="20"/>
      <c r="F17" s="20"/>
    </row>
    <row r="18" ht="13.5" hidden="1">
      <c r="B18" s="15"/>
    </row>
    <row r="19" spans="1:7" ht="28.5" customHeight="1" thickBot="1">
      <c r="A19" s="450" t="s">
        <v>326</v>
      </c>
      <c r="B19" s="450"/>
      <c r="C19" s="450"/>
      <c r="D19" s="450"/>
      <c r="E19" s="450"/>
      <c r="F19" s="450"/>
      <c r="G19" s="450"/>
    </row>
    <row r="20" spans="1:7" ht="13.5" customHeight="1" thickBot="1">
      <c r="A20" s="268" t="s">
        <v>152</v>
      </c>
      <c r="B20" s="269"/>
      <c r="C20" s="269"/>
      <c r="D20" s="269"/>
      <c r="E20" s="264" t="s">
        <v>65</v>
      </c>
      <c r="F20" s="265"/>
      <c r="G20" s="258" t="s">
        <v>277</v>
      </c>
    </row>
    <row r="21" spans="1:7" ht="27" thickBot="1">
      <c r="A21" s="61" t="s">
        <v>0</v>
      </c>
      <c r="B21" s="62" t="s">
        <v>48</v>
      </c>
      <c r="C21" s="62" t="s">
        <v>1</v>
      </c>
      <c r="D21" s="62" t="s">
        <v>2</v>
      </c>
      <c r="E21" s="56" t="s">
        <v>102</v>
      </c>
      <c r="F21" s="63" t="s">
        <v>146</v>
      </c>
      <c r="G21" s="259"/>
    </row>
    <row r="22" spans="1:7" ht="12.75">
      <c r="A22" s="64" t="s">
        <v>18</v>
      </c>
      <c r="B22" s="79" t="s">
        <v>22</v>
      </c>
      <c r="C22" s="80"/>
      <c r="D22" s="81"/>
      <c r="E22" s="82"/>
      <c r="F22" s="83"/>
      <c r="G22" s="215"/>
    </row>
    <row r="23" spans="1:7" ht="12.75">
      <c r="A23" s="65" t="s">
        <v>5</v>
      </c>
      <c r="B23" s="66" t="s">
        <v>181</v>
      </c>
      <c r="C23" s="85">
        <v>5.1</v>
      </c>
      <c r="D23" s="68" t="s">
        <v>66</v>
      </c>
      <c r="E23" s="69">
        <v>0.55</v>
      </c>
      <c r="F23" s="70">
        <f>ROUND(C23*E23,2)</f>
        <v>2.81</v>
      </c>
      <c r="G23" s="216">
        <v>1379</v>
      </c>
    </row>
    <row r="24" spans="1:7" ht="12.75">
      <c r="A24" s="65" t="s">
        <v>13</v>
      </c>
      <c r="B24" s="66" t="s">
        <v>67</v>
      </c>
      <c r="C24" s="85">
        <v>0.1</v>
      </c>
      <c r="D24" s="68" t="s">
        <v>8</v>
      </c>
      <c r="E24" s="69">
        <v>57.5</v>
      </c>
      <c r="F24" s="70">
        <f>ROUND(C24*E24,2)</f>
        <v>5.75</v>
      </c>
      <c r="G24" s="216">
        <v>370</v>
      </c>
    </row>
    <row r="25" spans="1:7" ht="12.75">
      <c r="A25" s="65" t="s">
        <v>16</v>
      </c>
      <c r="B25" s="66" t="s">
        <v>274</v>
      </c>
      <c r="C25" s="85">
        <v>3.86</v>
      </c>
      <c r="D25" s="68" t="s">
        <v>66</v>
      </c>
      <c r="E25" s="69">
        <v>3.65</v>
      </c>
      <c r="F25" s="70">
        <f>ROUND(C25*E25,2)</f>
        <v>14.09</v>
      </c>
      <c r="G25" s="216">
        <v>28</v>
      </c>
    </row>
    <row r="26" spans="1:7" ht="12.75">
      <c r="A26" s="65"/>
      <c r="B26" s="84" t="s">
        <v>7</v>
      </c>
      <c r="C26" s="93"/>
      <c r="D26" s="68"/>
      <c r="E26" s="94"/>
      <c r="F26" s="95">
        <f>SUM(F23:F25)</f>
        <v>22.65</v>
      </c>
      <c r="G26" s="216"/>
    </row>
    <row r="27" spans="1:7" ht="12.75">
      <c r="A27" s="96" t="s">
        <v>19</v>
      </c>
      <c r="B27" s="97" t="s">
        <v>23</v>
      </c>
      <c r="C27" s="98"/>
      <c r="D27" s="68"/>
      <c r="E27" s="69"/>
      <c r="F27" s="70"/>
      <c r="G27" s="217"/>
    </row>
    <row r="28" spans="1:7" ht="12.75">
      <c r="A28" s="65" t="s">
        <v>6</v>
      </c>
      <c r="B28" s="99" t="s">
        <v>180</v>
      </c>
      <c r="C28" s="100">
        <v>0.41</v>
      </c>
      <c r="D28" s="68" t="s">
        <v>44</v>
      </c>
      <c r="E28" s="69">
        <v>13.17</v>
      </c>
      <c r="F28" s="70">
        <f>ROUND(C28*E28,2)</f>
        <v>5.4</v>
      </c>
      <c r="G28" s="216">
        <v>88316</v>
      </c>
    </row>
    <row r="29" spans="1:7" ht="12.75">
      <c r="A29" s="65" t="s">
        <v>11</v>
      </c>
      <c r="B29" s="99" t="s">
        <v>178</v>
      </c>
      <c r="C29" s="100">
        <v>0.41</v>
      </c>
      <c r="D29" s="68" t="s">
        <v>44</v>
      </c>
      <c r="E29" s="69">
        <v>16.03</v>
      </c>
      <c r="F29" s="70">
        <f>ROUND(C29*E29,2)</f>
        <v>6.57</v>
      </c>
      <c r="G29" s="216">
        <v>88245</v>
      </c>
    </row>
    <row r="30" spans="1:7" ht="12.75">
      <c r="A30" s="101"/>
      <c r="B30" s="84" t="s">
        <v>7</v>
      </c>
      <c r="C30" s="102"/>
      <c r="D30" s="103"/>
      <c r="E30" s="94"/>
      <c r="F30" s="95">
        <f>SUM(F28:F29)</f>
        <v>11.97</v>
      </c>
      <c r="G30" s="218"/>
    </row>
    <row r="31" spans="1:7" ht="12.75">
      <c r="A31" s="96" t="s">
        <v>20</v>
      </c>
      <c r="B31" s="97" t="s">
        <v>34</v>
      </c>
      <c r="C31" s="98"/>
      <c r="D31" s="68"/>
      <c r="E31" s="69"/>
      <c r="F31" s="70"/>
      <c r="G31" s="217"/>
    </row>
    <row r="32" spans="1:7" ht="12.75">
      <c r="A32" s="65" t="s">
        <v>12</v>
      </c>
      <c r="B32" s="99" t="s">
        <v>68</v>
      </c>
      <c r="C32" s="100">
        <v>0.2</v>
      </c>
      <c r="D32" s="68" t="s">
        <v>44</v>
      </c>
      <c r="E32" s="69">
        <v>4.57</v>
      </c>
      <c r="F32" s="70">
        <f>ROUND(C32*E32,2)</f>
        <v>0.91</v>
      </c>
      <c r="G32" s="216">
        <v>93232</v>
      </c>
    </row>
    <row r="33" spans="1:7" ht="12.75">
      <c r="A33" s="65" t="s">
        <v>15</v>
      </c>
      <c r="B33" s="99" t="s">
        <v>35</v>
      </c>
      <c r="C33" s="100">
        <v>0.2</v>
      </c>
      <c r="D33" s="68" t="s">
        <v>44</v>
      </c>
      <c r="E33" s="69">
        <v>1.68</v>
      </c>
      <c r="F33" s="70">
        <f>ROUND(C33*E33,2)</f>
        <v>0.34</v>
      </c>
      <c r="G33" s="216">
        <v>91691</v>
      </c>
    </row>
    <row r="34" spans="1:7" ht="13.5" thickBot="1">
      <c r="A34" s="65"/>
      <c r="B34" s="104"/>
      <c r="C34" s="100"/>
      <c r="D34" s="68"/>
      <c r="E34" s="69"/>
      <c r="F34" s="70"/>
      <c r="G34" s="219"/>
    </row>
    <row r="35" spans="1:7" ht="13.5" thickBot="1">
      <c r="A35" s="105"/>
      <c r="B35" s="86" t="s">
        <v>7</v>
      </c>
      <c r="C35" s="87"/>
      <c r="D35" s="88"/>
      <c r="E35" s="89"/>
      <c r="F35" s="106">
        <f>SUM(F32:F34)</f>
        <v>1.25</v>
      </c>
      <c r="G35" s="220"/>
    </row>
    <row r="36" spans="1:7" ht="13.5" thickBot="1">
      <c r="A36" s="283" t="s">
        <v>174</v>
      </c>
      <c r="B36" s="284"/>
      <c r="C36" s="284"/>
      <c r="D36" s="284"/>
      <c r="E36" s="284"/>
      <c r="F36" s="90">
        <f>F26+F30+F35</f>
        <v>35.87</v>
      </c>
      <c r="G36" s="220"/>
    </row>
    <row r="37" spans="1:7" ht="12.75">
      <c r="A37" s="125"/>
      <c r="B37" s="125"/>
      <c r="C37" s="125"/>
      <c r="D37" s="125"/>
      <c r="E37" s="125"/>
      <c r="F37" s="126"/>
      <c r="G37" s="220"/>
    </row>
    <row r="38" spans="1:7" ht="13.5" thickBot="1">
      <c r="A38" s="125"/>
      <c r="B38" s="125"/>
      <c r="C38" s="125"/>
      <c r="D38" s="125"/>
      <c r="E38" s="125"/>
      <c r="F38" s="126"/>
      <c r="G38" s="220"/>
    </row>
    <row r="39" spans="1:7" ht="13.5" customHeight="1" thickBot="1">
      <c r="A39" s="278" t="s">
        <v>194</v>
      </c>
      <c r="B39" s="279"/>
      <c r="C39" s="279"/>
      <c r="D39" s="279"/>
      <c r="E39" s="275" t="s">
        <v>145</v>
      </c>
      <c r="F39" s="276"/>
      <c r="G39" s="258" t="s">
        <v>277</v>
      </c>
    </row>
    <row r="40" spans="1:7" ht="27" thickBot="1">
      <c r="A40" s="123" t="s">
        <v>0</v>
      </c>
      <c r="B40" s="124" t="s">
        <v>48</v>
      </c>
      <c r="C40" s="124" t="s">
        <v>1</v>
      </c>
      <c r="D40" s="124" t="s">
        <v>2</v>
      </c>
      <c r="E40" s="59" t="s">
        <v>102</v>
      </c>
      <c r="F40" s="130" t="s">
        <v>146</v>
      </c>
      <c r="G40" s="259"/>
    </row>
    <row r="41" spans="1:7" ht="14.25" customHeight="1">
      <c r="A41" s="78" t="s">
        <v>18</v>
      </c>
      <c r="B41" s="266" t="s">
        <v>195</v>
      </c>
      <c r="C41" s="266"/>
      <c r="D41" s="266"/>
      <c r="E41" s="266"/>
      <c r="F41" s="277"/>
      <c r="G41" s="210"/>
    </row>
    <row r="42" spans="1:7" ht="12.75">
      <c r="A42" s="65" t="s">
        <v>5</v>
      </c>
      <c r="B42" s="60" t="s">
        <v>251</v>
      </c>
      <c r="C42" s="67">
        <v>1.732</v>
      </c>
      <c r="D42" s="68" t="s">
        <v>186</v>
      </c>
      <c r="E42" s="69">
        <v>20.05</v>
      </c>
      <c r="F42" s="131">
        <f aca="true" t="shared" si="1" ref="F42:F48">ROUND(C42*E42,2)</f>
        <v>34.73</v>
      </c>
      <c r="G42" s="216" t="s">
        <v>185</v>
      </c>
    </row>
    <row r="43" spans="1:7" ht="12.75">
      <c r="A43" s="65" t="s">
        <v>13</v>
      </c>
      <c r="B43" s="99" t="s">
        <v>180</v>
      </c>
      <c r="C43" s="67">
        <v>3.27</v>
      </c>
      <c r="D43" s="68" t="s">
        <v>186</v>
      </c>
      <c r="E43" s="69">
        <v>13.17</v>
      </c>
      <c r="F43" s="131">
        <f t="shared" si="1"/>
        <v>43.07</v>
      </c>
      <c r="G43" s="216" t="s">
        <v>121</v>
      </c>
    </row>
    <row r="44" spans="1:7" ht="26.25">
      <c r="A44" s="65" t="s">
        <v>16</v>
      </c>
      <c r="B44" s="60" t="s">
        <v>252</v>
      </c>
      <c r="C44" s="67">
        <v>1.698</v>
      </c>
      <c r="D44" s="68" t="s">
        <v>188</v>
      </c>
      <c r="E44" s="69">
        <v>6.7</v>
      </c>
      <c r="F44" s="131">
        <f t="shared" si="1"/>
        <v>11.38</v>
      </c>
      <c r="G44" s="216" t="s">
        <v>187</v>
      </c>
    </row>
    <row r="45" spans="1:7" ht="12.75">
      <c r="A45" s="65" t="s">
        <v>25</v>
      </c>
      <c r="B45" s="60" t="s">
        <v>253</v>
      </c>
      <c r="C45" s="67">
        <v>0.871</v>
      </c>
      <c r="D45" s="68" t="s">
        <v>184</v>
      </c>
      <c r="E45" s="69">
        <v>57.5</v>
      </c>
      <c r="F45" s="131">
        <f t="shared" si="1"/>
        <v>50.08</v>
      </c>
      <c r="G45" s="216" t="s">
        <v>189</v>
      </c>
    </row>
    <row r="46" spans="1:7" ht="12.75">
      <c r="A46" s="65" t="s">
        <v>26</v>
      </c>
      <c r="B46" s="60" t="s">
        <v>245</v>
      </c>
      <c r="C46" s="67">
        <v>350</v>
      </c>
      <c r="D46" s="68" t="s">
        <v>190</v>
      </c>
      <c r="E46" s="69">
        <v>0.55</v>
      </c>
      <c r="F46" s="131">
        <f t="shared" si="1"/>
        <v>192.5</v>
      </c>
      <c r="G46" s="216" t="s">
        <v>147</v>
      </c>
    </row>
    <row r="47" spans="1:7" ht="12.75">
      <c r="A47" s="65" t="s">
        <v>27</v>
      </c>
      <c r="B47" s="60" t="s">
        <v>254</v>
      </c>
      <c r="C47" s="67">
        <v>0.2</v>
      </c>
      <c r="D47" s="68" t="s">
        <v>184</v>
      </c>
      <c r="E47" s="69">
        <v>45</v>
      </c>
      <c r="F47" s="131">
        <f t="shared" si="1"/>
        <v>9</v>
      </c>
      <c r="G47" s="216" t="s">
        <v>191</v>
      </c>
    </row>
    <row r="48" spans="1:7" ht="13.5" thickBot="1">
      <c r="A48" s="71" t="s">
        <v>28</v>
      </c>
      <c r="B48" s="72" t="s">
        <v>255</v>
      </c>
      <c r="C48" s="73">
        <v>0.6</v>
      </c>
      <c r="D48" s="74" t="s">
        <v>184</v>
      </c>
      <c r="E48" s="75">
        <v>45</v>
      </c>
      <c r="F48" s="132">
        <f t="shared" si="1"/>
        <v>27</v>
      </c>
      <c r="G48" s="228" t="s">
        <v>192</v>
      </c>
    </row>
    <row r="49" spans="1:7" ht="13.5" thickBot="1">
      <c r="A49" s="262" t="s">
        <v>174</v>
      </c>
      <c r="B49" s="263"/>
      <c r="C49" s="263"/>
      <c r="D49" s="263"/>
      <c r="E49" s="263"/>
      <c r="F49" s="127">
        <f>SUM(F42:F48)</f>
        <v>367.76</v>
      </c>
      <c r="G49" s="220"/>
    </row>
    <row r="50" spans="1:7" ht="12.75">
      <c r="A50" s="125"/>
      <c r="B50" s="125"/>
      <c r="C50" s="125"/>
      <c r="D50" s="125"/>
      <c r="E50" s="125"/>
      <c r="F50" s="126"/>
      <c r="G50" s="220"/>
    </row>
    <row r="51" spans="1:7" ht="14.25" thickBot="1">
      <c r="A51" s="33"/>
      <c r="B51" s="33"/>
      <c r="C51" s="50"/>
      <c r="D51" s="51"/>
      <c r="E51" s="53"/>
      <c r="F51" s="53"/>
      <c r="G51" s="221"/>
    </row>
    <row r="52" spans="1:7" ht="13.5" customHeight="1" thickBot="1">
      <c r="A52" s="268" t="s">
        <v>204</v>
      </c>
      <c r="B52" s="269"/>
      <c r="C52" s="269"/>
      <c r="D52" s="269"/>
      <c r="E52" s="264" t="s">
        <v>145</v>
      </c>
      <c r="F52" s="265"/>
      <c r="G52" s="258" t="s">
        <v>277</v>
      </c>
    </row>
    <row r="53" spans="1:7" ht="27" thickBot="1">
      <c r="A53" s="61" t="s">
        <v>0</v>
      </c>
      <c r="B53" s="62" t="s">
        <v>48</v>
      </c>
      <c r="C53" s="62" t="s">
        <v>1</v>
      </c>
      <c r="D53" s="62" t="s">
        <v>2</v>
      </c>
      <c r="E53" s="56" t="s">
        <v>102</v>
      </c>
      <c r="F53" s="63" t="s">
        <v>146</v>
      </c>
      <c r="G53" s="259"/>
    </row>
    <row r="54" spans="1:9" ht="40.5" customHeight="1">
      <c r="A54" s="64" t="s">
        <v>18</v>
      </c>
      <c r="B54" s="280" t="s">
        <v>287</v>
      </c>
      <c r="C54" s="281"/>
      <c r="D54" s="281"/>
      <c r="E54" s="281"/>
      <c r="F54" s="282"/>
      <c r="G54" s="215"/>
      <c r="I54" s="20"/>
    </row>
    <row r="55" spans="1:7" ht="12.75">
      <c r="A55" s="65" t="s">
        <v>5</v>
      </c>
      <c r="B55" s="66" t="s">
        <v>232</v>
      </c>
      <c r="C55" s="67">
        <v>1.19</v>
      </c>
      <c r="D55" s="68" t="s">
        <v>44</v>
      </c>
      <c r="E55" s="69">
        <v>16.03</v>
      </c>
      <c r="F55" s="70">
        <f aca="true" t="shared" si="2" ref="F55:F60">TRUNC(C55*E55,2)</f>
        <v>19.07</v>
      </c>
      <c r="G55" s="216" t="s">
        <v>119</v>
      </c>
    </row>
    <row r="56" spans="1:7" ht="12.75">
      <c r="A56" s="65" t="s">
        <v>13</v>
      </c>
      <c r="B56" s="66" t="s">
        <v>183</v>
      </c>
      <c r="C56" s="67">
        <v>3.571</v>
      </c>
      <c r="D56" s="68" t="s">
        <v>44</v>
      </c>
      <c r="E56" s="69">
        <v>16.13</v>
      </c>
      <c r="F56" s="70">
        <f t="shared" si="2"/>
        <v>57.6</v>
      </c>
      <c r="G56" s="216" t="s">
        <v>120</v>
      </c>
    </row>
    <row r="57" spans="1:7" ht="12.75">
      <c r="A57" s="65" t="s">
        <v>16</v>
      </c>
      <c r="B57" s="99" t="s">
        <v>180</v>
      </c>
      <c r="C57" s="67">
        <v>8.407</v>
      </c>
      <c r="D57" s="68" t="s">
        <v>44</v>
      </c>
      <c r="E57" s="69">
        <v>13.17</v>
      </c>
      <c r="F57" s="70">
        <f t="shared" si="2"/>
        <v>110.72</v>
      </c>
      <c r="G57" s="216" t="s">
        <v>121</v>
      </c>
    </row>
    <row r="58" spans="1:7" ht="26.25">
      <c r="A58" s="65" t="s">
        <v>25</v>
      </c>
      <c r="B58" s="60" t="s">
        <v>257</v>
      </c>
      <c r="C58" s="67">
        <v>0.615</v>
      </c>
      <c r="D58" s="68" t="s">
        <v>153</v>
      </c>
      <c r="E58" s="69">
        <v>1.07</v>
      </c>
      <c r="F58" s="70">
        <f t="shared" si="2"/>
        <v>0.65</v>
      </c>
      <c r="G58" s="216" t="s">
        <v>122</v>
      </c>
    </row>
    <row r="59" spans="1:7" ht="26.25">
      <c r="A59" s="65" t="s">
        <v>26</v>
      </c>
      <c r="B59" s="60" t="s">
        <v>258</v>
      </c>
      <c r="C59" s="67">
        <v>0.575</v>
      </c>
      <c r="D59" s="68" t="s">
        <v>154</v>
      </c>
      <c r="E59" s="69">
        <v>0.27</v>
      </c>
      <c r="F59" s="70">
        <f t="shared" si="2"/>
        <v>0.15</v>
      </c>
      <c r="G59" s="216" t="s">
        <v>123</v>
      </c>
    </row>
    <row r="60" spans="1:7" ht="13.5" thickBot="1">
      <c r="A60" s="71" t="s">
        <v>27</v>
      </c>
      <c r="B60" s="72" t="s">
        <v>256</v>
      </c>
      <c r="C60" s="73">
        <v>1.103</v>
      </c>
      <c r="D60" s="74" t="s">
        <v>8</v>
      </c>
      <c r="E60" s="75">
        <f>F49</f>
        <v>367.76</v>
      </c>
      <c r="F60" s="76">
        <f t="shared" si="2"/>
        <v>405.63</v>
      </c>
      <c r="G60" s="228" t="s">
        <v>196</v>
      </c>
    </row>
    <row r="61" spans="1:7" ht="13.5" thickBot="1">
      <c r="A61" s="283" t="s">
        <v>174</v>
      </c>
      <c r="B61" s="284"/>
      <c r="C61" s="284"/>
      <c r="D61" s="284"/>
      <c r="E61" s="284"/>
      <c r="F61" s="77">
        <f>SUM(F55:F60)</f>
        <v>593.8199999999999</v>
      </c>
      <c r="G61" s="220"/>
    </row>
    <row r="62" spans="1:7" ht="13.5">
      <c r="A62" s="33"/>
      <c r="B62" s="33"/>
      <c r="C62" s="50"/>
      <c r="D62" s="51"/>
      <c r="E62" s="53"/>
      <c r="F62" s="53"/>
      <c r="G62" s="221"/>
    </row>
    <row r="63" spans="1:7" ht="13.5" thickBot="1">
      <c r="A63" s="108"/>
      <c r="B63" s="108"/>
      <c r="C63" s="109"/>
      <c r="D63" s="110"/>
      <c r="E63" s="111"/>
      <c r="F63" s="111"/>
      <c r="G63" s="220"/>
    </row>
    <row r="64" spans="1:7" ht="13.5" customHeight="1" thickBot="1">
      <c r="A64" s="268" t="s">
        <v>205</v>
      </c>
      <c r="B64" s="269"/>
      <c r="C64" s="269"/>
      <c r="D64" s="269"/>
      <c r="E64" s="264" t="s">
        <v>65</v>
      </c>
      <c r="F64" s="265"/>
      <c r="G64" s="258" t="s">
        <v>277</v>
      </c>
    </row>
    <row r="65" spans="1:7" ht="27" customHeight="1" thickBot="1">
      <c r="A65" s="61" t="s">
        <v>0</v>
      </c>
      <c r="B65" s="62" t="s">
        <v>48</v>
      </c>
      <c r="C65" s="62" t="s">
        <v>1</v>
      </c>
      <c r="D65" s="62" t="s">
        <v>2</v>
      </c>
      <c r="E65" s="56" t="s">
        <v>102</v>
      </c>
      <c r="F65" s="63" t="s">
        <v>146</v>
      </c>
      <c r="G65" s="259"/>
    </row>
    <row r="66" spans="1:7" ht="12.75">
      <c r="A66" s="64" t="s">
        <v>18</v>
      </c>
      <c r="B66" s="79" t="s">
        <v>22</v>
      </c>
      <c r="C66" s="80"/>
      <c r="D66" s="81"/>
      <c r="E66" s="82"/>
      <c r="F66" s="83"/>
      <c r="G66" s="215"/>
    </row>
    <row r="67" spans="1:7" ht="12.75">
      <c r="A67" s="65" t="s">
        <v>5</v>
      </c>
      <c r="B67" s="66" t="s">
        <v>170</v>
      </c>
      <c r="C67" s="85">
        <v>2.51</v>
      </c>
      <c r="D67" s="68" t="s">
        <v>66</v>
      </c>
      <c r="E67" s="69">
        <v>0.55</v>
      </c>
      <c r="F67" s="70">
        <f>TRUNC(C67*E67,2)</f>
        <v>1.38</v>
      </c>
      <c r="G67" s="212">
        <v>1379</v>
      </c>
    </row>
    <row r="68" spans="1:7" ht="12.75">
      <c r="A68" s="65" t="s">
        <v>13</v>
      </c>
      <c r="B68" s="66" t="s">
        <v>67</v>
      </c>
      <c r="C68" s="85">
        <v>0.071</v>
      </c>
      <c r="D68" s="68" t="s">
        <v>8</v>
      </c>
      <c r="E68" s="69">
        <v>57.5</v>
      </c>
      <c r="F68" s="70">
        <f>TRUNC(C68*E68,2)</f>
        <v>4.08</v>
      </c>
      <c r="G68" s="212">
        <v>370</v>
      </c>
    </row>
    <row r="69" spans="1:7" ht="12.75">
      <c r="A69" s="65" t="s">
        <v>16</v>
      </c>
      <c r="B69" s="66" t="s">
        <v>171</v>
      </c>
      <c r="C69" s="85">
        <v>0.071</v>
      </c>
      <c r="D69" s="68" t="s">
        <v>8</v>
      </c>
      <c r="E69" s="69">
        <v>45</v>
      </c>
      <c r="F69" s="70">
        <f>TRUNC(C69*E69,2)</f>
        <v>3.19</v>
      </c>
      <c r="G69" s="212">
        <v>4721</v>
      </c>
    </row>
    <row r="70" spans="1:7" s="20" customFormat="1" ht="12.75">
      <c r="A70" s="65" t="s">
        <v>25</v>
      </c>
      <c r="B70" s="66" t="s">
        <v>70</v>
      </c>
      <c r="C70" s="85">
        <v>1.01</v>
      </c>
      <c r="D70" s="68" t="s">
        <v>10</v>
      </c>
      <c r="E70" s="69">
        <v>6.95</v>
      </c>
      <c r="F70" s="70">
        <f>TRUNC(C70*E70,2)</f>
        <v>7.01</v>
      </c>
      <c r="G70" s="212" t="s">
        <v>49</v>
      </c>
    </row>
    <row r="71" spans="1:7" ht="12.75">
      <c r="A71" s="65"/>
      <c r="B71" s="84" t="s">
        <v>7</v>
      </c>
      <c r="C71" s="93"/>
      <c r="D71" s="68"/>
      <c r="E71" s="94"/>
      <c r="F71" s="95">
        <f>SUM(F67:F70)</f>
        <v>15.66</v>
      </c>
      <c r="G71" s="212"/>
    </row>
    <row r="72" spans="1:7" ht="12.75">
      <c r="A72" s="96" t="s">
        <v>19</v>
      </c>
      <c r="B72" s="97" t="s">
        <v>23</v>
      </c>
      <c r="C72" s="98"/>
      <c r="D72" s="68"/>
      <c r="E72" s="69"/>
      <c r="F72" s="70"/>
      <c r="G72" s="222"/>
    </row>
    <row r="73" spans="1:7" ht="12.75">
      <c r="A73" s="65" t="s">
        <v>6</v>
      </c>
      <c r="B73" s="99" t="s">
        <v>183</v>
      </c>
      <c r="C73" s="100">
        <v>0.2</v>
      </c>
      <c r="D73" s="68" t="s">
        <v>44</v>
      </c>
      <c r="E73" s="69">
        <v>16.13</v>
      </c>
      <c r="F73" s="70">
        <f>TRUNC(C73*E73,2)</f>
        <v>3.22</v>
      </c>
      <c r="G73" s="216">
        <v>88309</v>
      </c>
    </row>
    <row r="74" spans="1:7" ht="12.75">
      <c r="A74" s="65" t="s">
        <v>11</v>
      </c>
      <c r="B74" s="99" t="s">
        <v>180</v>
      </c>
      <c r="C74" s="100">
        <v>0.2</v>
      </c>
      <c r="D74" s="68" t="s">
        <v>44</v>
      </c>
      <c r="E74" s="69">
        <v>13.17</v>
      </c>
      <c r="F74" s="70">
        <f>TRUNC(C74*E74,2)</f>
        <v>2.63</v>
      </c>
      <c r="G74" s="216">
        <v>88316</v>
      </c>
    </row>
    <row r="75" spans="1:7" ht="13.5" thickBot="1">
      <c r="A75" s="65" t="s">
        <v>29</v>
      </c>
      <c r="B75" s="99" t="s">
        <v>178</v>
      </c>
      <c r="C75" s="100">
        <v>0.46</v>
      </c>
      <c r="D75" s="68" t="s">
        <v>44</v>
      </c>
      <c r="E75" s="69">
        <v>16.03</v>
      </c>
      <c r="F75" s="70">
        <f>TRUNC(C75*E75,2)</f>
        <v>7.37</v>
      </c>
      <c r="G75" s="228">
        <v>88245</v>
      </c>
    </row>
    <row r="76" spans="1:7" ht="13.5" thickBot="1">
      <c r="A76" s="105"/>
      <c r="B76" s="86" t="s">
        <v>7</v>
      </c>
      <c r="C76" s="87"/>
      <c r="D76" s="88"/>
      <c r="E76" s="89"/>
      <c r="F76" s="106">
        <f>SUM(F73:F75)</f>
        <v>13.219999999999999</v>
      </c>
      <c r="G76" s="220"/>
    </row>
    <row r="77" spans="1:7" ht="13.5" thickBot="1">
      <c r="A77" s="270" t="s">
        <v>175</v>
      </c>
      <c r="B77" s="271"/>
      <c r="C77" s="271"/>
      <c r="D77" s="271"/>
      <c r="E77" s="272"/>
      <c r="F77" s="120">
        <f>SUM(F71+F76)</f>
        <v>28.88</v>
      </c>
      <c r="G77" s="220"/>
    </row>
    <row r="78" spans="1:7" ht="12.75">
      <c r="A78" s="108"/>
      <c r="B78" s="91" t="s">
        <v>32</v>
      </c>
      <c r="C78" s="109"/>
      <c r="D78" s="110"/>
      <c r="E78" s="111"/>
      <c r="F78" s="111"/>
      <c r="G78" s="220"/>
    </row>
    <row r="79" spans="1:7" ht="12.75">
      <c r="A79" s="108"/>
      <c r="B79" s="92" t="s">
        <v>33</v>
      </c>
      <c r="C79" s="109"/>
      <c r="D79" s="110"/>
      <c r="E79" s="111"/>
      <c r="F79" s="111"/>
      <c r="G79" s="220"/>
    </row>
    <row r="80" spans="1:7" ht="12.75">
      <c r="A80" s="108"/>
      <c r="B80" s="92" t="s">
        <v>37</v>
      </c>
      <c r="C80" s="109"/>
      <c r="D80" s="110"/>
      <c r="E80" s="111"/>
      <c r="F80" s="111"/>
      <c r="G80" s="220"/>
    </row>
    <row r="81" spans="1:7" ht="12.75">
      <c r="A81" s="108"/>
      <c r="B81" s="91" t="s">
        <v>38</v>
      </c>
      <c r="C81" s="109"/>
      <c r="D81" s="110"/>
      <c r="E81" s="111"/>
      <c r="F81" s="111"/>
      <c r="G81" s="220"/>
    </row>
    <row r="82" spans="1:7" ht="12.75">
      <c r="A82" s="108"/>
      <c r="B82" s="91" t="s">
        <v>39</v>
      </c>
      <c r="C82" s="109"/>
      <c r="D82" s="110"/>
      <c r="E82" s="111"/>
      <c r="F82" s="111"/>
      <c r="G82" s="220"/>
    </row>
    <row r="83" spans="1:7" ht="12.75">
      <c r="A83" s="108"/>
      <c r="B83" s="92" t="s">
        <v>40</v>
      </c>
      <c r="C83" s="109"/>
      <c r="D83" s="110"/>
      <c r="E83" s="111"/>
      <c r="F83" s="111"/>
      <c r="G83" s="220"/>
    </row>
    <row r="84" spans="1:7" ht="12.75">
      <c r="A84" s="108"/>
      <c r="B84" s="92" t="s">
        <v>41</v>
      </c>
      <c r="C84" s="109"/>
      <c r="D84" s="110"/>
      <c r="E84" s="110"/>
      <c r="F84" s="107"/>
      <c r="G84" s="223"/>
    </row>
    <row r="85" spans="1:6" ht="13.5" thickBot="1">
      <c r="A85" s="20"/>
      <c r="B85" s="20"/>
      <c r="C85" s="20"/>
      <c r="D85" s="20"/>
      <c r="E85" s="20"/>
      <c r="F85" s="20"/>
    </row>
    <row r="86" spans="1:7" ht="13.5" customHeight="1" thickBot="1">
      <c r="A86" s="268" t="s">
        <v>206</v>
      </c>
      <c r="B86" s="269"/>
      <c r="C86" s="269"/>
      <c r="D86" s="269"/>
      <c r="E86" s="264" t="s">
        <v>65</v>
      </c>
      <c r="F86" s="265"/>
      <c r="G86" s="258" t="s">
        <v>277</v>
      </c>
    </row>
    <row r="87" spans="1:7" ht="27" customHeight="1">
      <c r="A87" s="78" t="s">
        <v>0</v>
      </c>
      <c r="B87" s="112" t="s">
        <v>48</v>
      </c>
      <c r="C87" s="112" t="s">
        <v>1</v>
      </c>
      <c r="D87" s="112" t="s">
        <v>2</v>
      </c>
      <c r="E87" s="55" t="s">
        <v>102</v>
      </c>
      <c r="F87" s="113" t="s">
        <v>146</v>
      </c>
      <c r="G87" s="259"/>
    </row>
    <row r="88" spans="1:7" ht="12.75">
      <c r="A88" s="96" t="s">
        <v>18</v>
      </c>
      <c r="B88" s="114" t="s">
        <v>22</v>
      </c>
      <c r="C88" s="99"/>
      <c r="D88" s="32"/>
      <c r="E88" s="115"/>
      <c r="F88" s="116"/>
      <c r="G88" s="215"/>
    </row>
    <row r="89" spans="1:7" ht="12.75">
      <c r="A89" s="65" t="s">
        <v>13</v>
      </c>
      <c r="B89" s="99" t="s">
        <v>183</v>
      </c>
      <c r="C89" s="85">
        <v>0.2</v>
      </c>
      <c r="D89" s="68" t="s">
        <v>44</v>
      </c>
      <c r="E89" s="69">
        <v>16.13</v>
      </c>
      <c r="F89" s="70">
        <f>TRUNC(C89*E89,2)</f>
        <v>3.22</v>
      </c>
      <c r="G89" s="216">
        <v>88309</v>
      </c>
    </row>
    <row r="90" spans="1:7" ht="13.5" thickBot="1">
      <c r="A90" s="65" t="s">
        <v>16</v>
      </c>
      <c r="B90" s="99" t="s">
        <v>180</v>
      </c>
      <c r="C90" s="85">
        <v>0.2</v>
      </c>
      <c r="D90" s="68" t="s">
        <v>44</v>
      </c>
      <c r="E90" s="69">
        <v>13.17</v>
      </c>
      <c r="F90" s="70">
        <f>TRUNC(C90*E90,2)</f>
        <v>2.63</v>
      </c>
      <c r="G90" s="228">
        <v>88316</v>
      </c>
    </row>
    <row r="91" spans="1:6" ht="13.5" thickBot="1">
      <c r="A91" s="270" t="s">
        <v>176</v>
      </c>
      <c r="B91" s="271"/>
      <c r="C91" s="271"/>
      <c r="D91" s="271"/>
      <c r="E91" s="272"/>
      <c r="F91" s="77">
        <f>SUM(F89:F90)</f>
        <v>5.85</v>
      </c>
    </row>
    <row r="92" spans="1:6" ht="13.5" thickBot="1">
      <c r="A92" s="20"/>
      <c r="B92" s="20"/>
      <c r="C92" s="20"/>
      <c r="D92" s="20"/>
      <c r="E92" s="20"/>
      <c r="F92" s="20"/>
    </row>
    <row r="93" spans="1:8" ht="13.5">
      <c r="A93" s="20"/>
      <c r="B93" s="294" t="s">
        <v>36</v>
      </c>
      <c r="C93" s="295"/>
      <c r="D93" s="295"/>
      <c r="E93" s="296"/>
      <c r="F93" s="117">
        <f>F77</f>
        <v>28.88</v>
      </c>
      <c r="G93" s="224"/>
      <c r="H93" s="54"/>
    </row>
    <row r="94" spans="1:8" ht="13.5">
      <c r="A94" s="20"/>
      <c r="B94" s="291" t="s">
        <v>42</v>
      </c>
      <c r="C94" s="292"/>
      <c r="D94" s="292"/>
      <c r="E94" s="293"/>
      <c r="F94" s="118">
        <f>F91</f>
        <v>5.85</v>
      </c>
      <c r="G94" s="224"/>
      <c r="H94" s="54"/>
    </row>
    <row r="95" spans="1:8" ht="14.25" thickBot="1">
      <c r="A95" s="20"/>
      <c r="B95" s="288" t="s">
        <v>177</v>
      </c>
      <c r="C95" s="289"/>
      <c r="D95" s="289"/>
      <c r="E95" s="290"/>
      <c r="F95" s="119">
        <f>F93+F94</f>
        <v>34.73</v>
      </c>
      <c r="G95" s="224"/>
      <c r="H95" s="54"/>
    </row>
    <row r="98" ht="13.5" thickBot="1"/>
    <row r="99" spans="1:7" ht="27.75" customHeight="1" thickBot="1">
      <c r="A99" s="273" t="s">
        <v>313</v>
      </c>
      <c r="B99" s="274"/>
      <c r="C99" s="274"/>
      <c r="D99" s="274"/>
      <c r="E99" s="264" t="s">
        <v>145</v>
      </c>
      <c r="F99" s="265"/>
      <c r="G99" s="258" t="s">
        <v>277</v>
      </c>
    </row>
    <row r="100" spans="1:7" ht="27" thickBot="1">
      <c r="A100" s="123" t="s">
        <v>0</v>
      </c>
      <c r="B100" s="124" t="s">
        <v>48</v>
      </c>
      <c r="C100" s="124" t="s">
        <v>1</v>
      </c>
      <c r="D100" s="124" t="s">
        <v>2</v>
      </c>
      <c r="E100" s="59" t="s">
        <v>102</v>
      </c>
      <c r="F100" s="133" t="s">
        <v>146</v>
      </c>
      <c r="G100" s="259"/>
    </row>
    <row r="101" spans="1:7" ht="12.75">
      <c r="A101" s="78" t="s">
        <v>18</v>
      </c>
      <c r="B101" s="266" t="s">
        <v>208</v>
      </c>
      <c r="C101" s="266"/>
      <c r="D101" s="266"/>
      <c r="E101" s="266"/>
      <c r="F101" s="267"/>
      <c r="G101" s="225"/>
    </row>
    <row r="102" spans="1:7" ht="12.75">
      <c r="A102" s="65" t="s">
        <v>5</v>
      </c>
      <c r="B102" s="134" t="s">
        <v>229</v>
      </c>
      <c r="C102" s="85">
        <v>1</v>
      </c>
      <c r="D102" s="67" t="s">
        <v>8</v>
      </c>
      <c r="E102" s="135">
        <f>F49</f>
        <v>367.76</v>
      </c>
      <c r="F102" s="136">
        <f>C102*E102</f>
        <v>367.76</v>
      </c>
      <c r="G102" s="229" t="s">
        <v>244</v>
      </c>
    </row>
    <row r="103" spans="1:7" ht="26.25">
      <c r="A103" s="65" t="s">
        <v>13</v>
      </c>
      <c r="B103" s="134" t="s">
        <v>231</v>
      </c>
      <c r="C103" s="85">
        <v>0.42</v>
      </c>
      <c r="D103" s="67" t="s">
        <v>44</v>
      </c>
      <c r="E103" s="135">
        <v>1.07</v>
      </c>
      <c r="F103" s="136">
        <f aca="true" t="shared" si="3" ref="F103:F109">C103*E103</f>
        <v>0.4494</v>
      </c>
      <c r="G103" s="226">
        <v>90586</v>
      </c>
    </row>
    <row r="104" spans="1:7" ht="26.25">
      <c r="A104" s="65" t="s">
        <v>16</v>
      </c>
      <c r="B104" s="134" t="s">
        <v>230</v>
      </c>
      <c r="C104" s="85">
        <v>0.61</v>
      </c>
      <c r="D104" s="67" t="s">
        <v>44</v>
      </c>
      <c r="E104" s="135">
        <v>0.27</v>
      </c>
      <c r="F104" s="136">
        <f t="shared" si="3"/>
        <v>0.1647</v>
      </c>
      <c r="G104" s="226">
        <v>90587</v>
      </c>
    </row>
    <row r="105" spans="1:7" ht="12.75">
      <c r="A105" s="65" t="s">
        <v>27</v>
      </c>
      <c r="B105" s="134" t="s">
        <v>178</v>
      </c>
      <c r="C105" s="85">
        <v>6.5</v>
      </c>
      <c r="D105" s="67" t="s">
        <v>44</v>
      </c>
      <c r="E105" s="135">
        <v>16.03</v>
      </c>
      <c r="F105" s="136">
        <f t="shared" si="3"/>
        <v>104.19500000000001</v>
      </c>
      <c r="G105" s="226" t="s">
        <v>209</v>
      </c>
    </row>
    <row r="106" spans="1:7" ht="12.75">
      <c r="A106" s="65" t="s">
        <v>148</v>
      </c>
      <c r="B106" s="134" t="s">
        <v>233</v>
      </c>
      <c r="C106" s="85">
        <v>0.51</v>
      </c>
      <c r="D106" s="67" t="s">
        <v>44</v>
      </c>
      <c r="E106" s="135">
        <v>18.99</v>
      </c>
      <c r="F106" s="136">
        <f t="shared" si="3"/>
        <v>9.684899999999999</v>
      </c>
      <c r="G106" s="226" t="s">
        <v>210</v>
      </c>
    </row>
    <row r="107" spans="1:7" ht="12.75">
      <c r="A107" s="65" t="s">
        <v>149</v>
      </c>
      <c r="B107" s="134" t="s">
        <v>183</v>
      </c>
      <c r="C107" s="85">
        <v>4.5</v>
      </c>
      <c r="D107" s="67" t="s">
        <v>44</v>
      </c>
      <c r="E107" s="135">
        <v>16.13</v>
      </c>
      <c r="F107" s="136">
        <f t="shared" si="3"/>
        <v>72.585</v>
      </c>
      <c r="G107" s="226" t="s">
        <v>120</v>
      </c>
    </row>
    <row r="108" spans="1:7" ht="12.75">
      <c r="A108" s="65" t="s">
        <v>150</v>
      </c>
      <c r="B108" s="134" t="s">
        <v>180</v>
      </c>
      <c r="C108" s="85">
        <v>6.5</v>
      </c>
      <c r="D108" s="67" t="s">
        <v>44</v>
      </c>
      <c r="E108" s="135">
        <v>13.17</v>
      </c>
      <c r="F108" s="136">
        <f t="shared" si="3"/>
        <v>85.605</v>
      </c>
      <c r="G108" s="226" t="s">
        <v>121</v>
      </c>
    </row>
    <row r="109" spans="1:7" ht="13.5" thickBot="1">
      <c r="A109" s="71" t="s">
        <v>227</v>
      </c>
      <c r="B109" s="137" t="s">
        <v>271</v>
      </c>
      <c r="C109" s="138">
        <v>1</v>
      </c>
      <c r="D109" s="73" t="s">
        <v>278</v>
      </c>
      <c r="E109" s="139">
        <v>467.39</v>
      </c>
      <c r="F109" s="136">
        <f t="shared" si="3"/>
        <v>467.39</v>
      </c>
      <c r="G109" s="226" t="s">
        <v>272</v>
      </c>
    </row>
    <row r="110" spans="1:6" ht="13.5" thickBot="1">
      <c r="A110" s="262" t="s">
        <v>174</v>
      </c>
      <c r="B110" s="263"/>
      <c r="C110" s="263"/>
      <c r="D110" s="263"/>
      <c r="E110" s="263"/>
      <c r="F110" s="127">
        <f>SUM(F102:F109)</f>
        <v>1107.834</v>
      </c>
    </row>
    <row r="112" ht="13.5" thickBot="1"/>
    <row r="113" spans="1:7" ht="13.5" customHeight="1" thickBot="1">
      <c r="A113" s="297" t="s">
        <v>241</v>
      </c>
      <c r="B113" s="298"/>
      <c r="C113" s="298"/>
      <c r="D113" s="298"/>
      <c r="E113" s="264" t="s">
        <v>145</v>
      </c>
      <c r="F113" s="265"/>
      <c r="G113" s="258" t="s">
        <v>277</v>
      </c>
    </row>
    <row r="114" spans="1:7" ht="27" thickBot="1">
      <c r="A114" s="123" t="s">
        <v>0</v>
      </c>
      <c r="B114" s="124" t="s">
        <v>48</v>
      </c>
      <c r="C114" s="124" t="s">
        <v>1</v>
      </c>
      <c r="D114" s="124" t="s">
        <v>2</v>
      </c>
      <c r="E114" s="59" t="s">
        <v>102</v>
      </c>
      <c r="F114" s="133" t="s">
        <v>146</v>
      </c>
      <c r="G114" s="259"/>
    </row>
    <row r="115" spans="1:7" ht="25.5" customHeight="1">
      <c r="A115" s="78" t="s">
        <v>18</v>
      </c>
      <c r="B115" s="266" t="s">
        <v>242</v>
      </c>
      <c r="C115" s="266"/>
      <c r="D115" s="266"/>
      <c r="E115" s="266"/>
      <c r="F115" s="267"/>
      <c r="G115" s="226"/>
    </row>
    <row r="116" spans="1:7" ht="26.25">
      <c r="A116" s="65" t="s">
        <v>5</v>
      </c>
      <c r="B116" s="134" t="s">
        <v>234</v>
      </c>
      <c r="C116" s="141">
        <v>0.0115</v>
      </c>
      <c r="D116" s="67" t="s">
        <v>188</v>
      </c>
      <c r="E116" s="142">
        <v>142.4</v>
      </c>
      <c r="F116" s="136">
        <f>C116*E116</f>
        <v>1.6376</v>
      </c>
      <c r="G116" s="226" t="s">
        <v>211</v>
      </c>
    </row>
    <row r="117" spans="1:7" ht="26.25">
      <c r="A117" s="65" t="s">
        <v>13</v>
      </c>
      <c r="B117" s="134" t="s">
        <v>235</v>
      </c>
      <c r="C117" s="141">
        <v>0.003</v>
      </c>
      <c r="D117" s="67" t="s">
        <v>213</v>
      </c>
      <c r="E117" s="142">
        <v>55.58</v>
      </c>
      <c r="F117" s="136">
        <f>C117*E117</f>
        <v>0.16674</v>
      </c>
      <c r="G117" s="226" t="s">
        <v>212</v>
      </c>
    </row>
    <row r="118" spans="1:7" ht="12.75">
      <c r="A118" s="65" t="s">
        <v>16</v>
      </c>
      <c r="B118" s="134" t="s">
        <v>180</v>
      </c>
      <c r="C118" s="141">
        <v>0.015</v>
      </c>
      <c r="D118" s="67" t="s">
        <v>186</v>
      </c>
      <c r="E118" s="142">
        <v>13.17</v>
      </c>
      <c r="F118" s="136">
        <f>C118*E118</f>
        <v>0.19755</v>
      </c>
      <c r="G118" s="226" t="s">
        <v>121</v>
      </c>
    </row>
    <row r="119" spans="1:7" ht="39">
      <c r="A119" s="65" t="s">
        <v>25</v>
      </c>
      <c r="B119" s="134" t="s">
        <v>236</v>
      </c>
      <c r="C119" s="141">
        <v>0.139</v>
      </c>
      <c r="D119" s="67" t="s">
        <v>188</v>
      </c>
      <c r="E119" s="142">
        <v>176.92</v>
      </c>
      <c r="F119" s="136">
        <f>C119*E119</f>
        <v>24.59188</v>
      </c>
      <c r="G119" s="226" t="s">
        <v>214</v>
      </c>
    </row>
    <row r="120" spans="1:7" ht="39.75" thickBot="1">
      <c r="A120" s="71" t="s">
        <v>26</v>
      </c>
      <c r="B120" s="134" t="s">
        <v>237</v>
      </c>
      <c r="C120" s="143">
        <v>0.0473</v>
      </c>
      <c r="D120" s="73" t="s">
        <v>213</v>
      </c>
      <c r="E120" s="144">
        <v>49.93</v>
      </c>
      <c r="F120" s="140">
        <f>C120*E120</f>
        <v>2.361689</v>
      </c>
      <c r="G120" s="226" t="s">
        <v>215</v>
      </c>
    </row>
    <row r="121" spans="1:6" ht="13.5" thickBot="1">
      <c r="A121" s="262" t="s">
        <v>174</v>
      </c>
      <c r="B121" s="263"/>
      <c r="C121" s="263"/>
      <c r="D121" s="263"/>
      <c r="E121" s="263"/>
      <c r="F121" s="127">
        <f>SUM(F116:F120)</f>
        <v>28.955458999999998</v>
      </c>
    </row>
    <row r="123" ht="13.5" thickBot="1"/>
    <row r="124" spans="1:7" ht="12.75" customHeight="1">
      <c r="A124" s="297" t="s">
        <v>240</v>
      </c>
      <c r="B124" s="298"/>
      <c r="C124" s="298"/>
      <c r="D124" s="298"/>
      <c r="E124" s="264" t="s">
        <v>318</v>
      </c>
      <c r="F124" s="265"/>
      <c r="G124" s="258" t="s">
        <v>277</v>
      </c>
    </row>
    <row r="125" spans="1:7" ht="26.25">
      <c r="A125" s="84" t="s">
        <v>0</v>
      </c>
      <c r="B125" s="84" t="s">
        <v>48</v>
      </c>
      <c r="C125" s="84" t="s">
        <v>1</v>
      </c>
      <c r="D125" s="84" t="s">
        <v>2</v>
      </c>
      <c r="E125" s="145" t="s">
        <v>102</v>
      </c>
      <c r="F125" s="148" t="s">
        <v>146</v>
      </c>
      <c r="G125" s="259"/>
    </row>
    <row r="126" spans="1:7" ht="12.75">
      <c r="A126" s="84" t="s">
        <v>18</v>
      </c>
      <c r="B126" s="299" t="s">
        <v>243</v>
      </c>
      <c r="C126" s="299"/>
      <c r="D126" s="299"/>
      <c r="E126" s="299"/>
      <c r="F126" s="300"/>
      <c r="G126" s="227"/>
    </row>
    <row r="127" spans="1:7" ht="26.25">
      <c r="A127" s="32" t="s">
        <v>5</v>
      </c>
      <c r="B127" s="134" t="s">
        <v>238</v>
      </c>
      <c r="C127" s="85">
        <v>1.5</v>
      </c>
      <c r="D127" s="67" t="s">
        <v>188</v>
      </c>
      <c r="E127" s="29">
        <v>44.55</v>
      </c>
      <c r="F127" s="149">
        <f>C127*E127</f>
        <v>66.82499999999999</v>
      </c>
      <c r="G127" s="216">
        <v>90972</v>
      </c>
    </row>
    <row r="128" spans="1:7" ht="26.25">
      <c r="A128" s="32" t="s">
        <v>13</v>
      </c>
      <c r="B128" s="134" t="s">
        <v>261</v>
      </c>
      <c r="C128" s="85">
        <v>1.5</v>
      </c>
      <c r="D128" s="67" t="s">
        <v>213</v>
      </c>
      <c r="E128" s="29">
        <v>2.42</v>
      </c>
      <c r="F128" s="149">
        <v>179.76</v>
      </c>
      <c r="G128" s="216">
        <v>5954</v>
      </c>
    </row>
    <row r="129" spans="1:7" ht="26.25">
      <c r="A129" s="32" t="s">
        <v>16</v>
      </c>
      <c r="B129" s="134" t="s">
        <v>262</v>
      </c>
      <c r="C129" s="85">
        <v>2.5</v>
      </c>
      <c r="D129" s="67" t="s">
        <v>188</v>
      </c>
      <c r="E129" s="29">
        <v>15.1</v>
      </c>
      <c r="F129" s="149">
        <f>C129*E129</f>
        <v>37.75</v>
      </c>
      <c r="G129" s="216">
        <v>5795</v>
      </c>
    </row>
    <row r="130" spans="1:7" ht="12.75">
      <c r="A130" s="32" t="s">
        <v>25</v>
      </c>
      <c r="B130" s="134" t="s">
        <v>183</v>
      </c>
      <c r="C130" s="85">
        <v>2.5</v>
      </c>
      <c r="D130" s="67" t="s">
        <v>186</v>
      </c>
      <c r="E130" s="29">
        <v>16.13</v>
      </c>
      <c r="F130" s="149">
        <f>C130*E130</f>
        <v>40.324999999999996</v>
      </c>
      <c r="G130" s="216" t="s">
        <v>120</v>
      </c>
    </row>
    <row r="131" spans="1:7" ht="13.5" thickBot="1">
      <c r="A131" s="32" t="s">
        <v>26</v>
      </c>
      <c r="B131" s="134" t="s">
        <v>180</v>
      </c>
      <c r="C131" s="128">
        <v>2.5</v>
      </c>
      <c r="D131" s="146" t="s">
        <v>186</v>
      </c>
      <c r="E131" s="147">
        <v>13.17</v>
      </c>
      <c r="F131" s="150">
        <f>C131*E131</f>
        <v>32.925</v>
      </c>
      <c r="G131" s="228" t="s">
        <v>121</v>
      </c>
    </row>
    <row r="132" spans="1:6" ht="13.5" thickBot="1">
      <c r="A132" s="283" t="s">
        <v>174</v>
      </c>
      <c r="B132" s="284"/>
      <c r="C132" s="284"/>
      <c r="D132" s="284"/>
      <c r="E132" s="284"/>
      <c r="F132" s="77">
        <f>SUM(F127:F131)</f>
        <v>357.585</v>
      </c>
    </row>
    <row r="133" spans="1:6" ht="12.75">
      <c r="A133" s="125"/>
      <c r="B133" s="125"/>
      <c r="C133" s="125"/>
      <c r="D133" s="125"/>
      <c r="E133" s="125"/>
      <c r="F133" s="111"/>
    </row>
    <row r="134" spans="1:6" ht="12.75">
      <c r="A134" s="125"/>
      <c r="B134" s="125"/>
      <c r="C134" s="125"/>
      <c r="D134" s="125"/>
      <c r="E134" s="125"/>
      <c r="F134" s="111"/>
    </row>
    <row r="135" ht="13.5" thickBot="1"/>
    <row r="136" spans="1:7" ht="30.75" customHeight="1" thickBot="1">
      <c r="A136" s="253" t="s">
        <v>280</v>
      </c>
      <c r="B136" s="254"/>
      <c r="C136" s="254"/>
      <c r="D136" s="255"/>
      <c r="E136" s="264" t="s">
        <v>145</v>
      </c>
      <c r="F136" s="265"/>
      <c r="G136" s="258" t="s">
        <v>277</v>
      </c>
    </row>
    <row r="137" spans="1:7" ht="27" thickBot="1">
      <c r="A137" s="123" t="s">
        <v>0</v>
      </c>
      <c r="B137" s="124" t="s">
        <v>48</v>
      </c>
      <c r="C137" s="124" t="s">
        <v>1</v>
      </c>
      <c r="D137" s="124" t="s">
        <v>2</v>
      </c>
      <c r="E137" s="59" t="s">
        <v>102</v>
      </c>
      <c r="F137" s="133" t="s">
        <v>146</v>
      </c>
      <c r="G137" s="259"/>
    </row>
    <row r="138" spans="1:7" ht="12.75">
      <c r="A138" s="78" t="s">
        <v>18</v>
      </c>
      <c r="B138" s="266" t="s">
        <v>208</v>
      </c>
      <c r="C138" s="266"/>
      <c r="D138" s="266"/>
      <c r="E138" s="266"/>
      <c r="F138" s="267"/>
      <c r="G138" s="225"/>
    </row>
    <row r="139" spans="1:7" ht="12.75">
      <c r="A139" s="65" t="s">
        <v>5</v>
      </c>
      <c r="B139" s="134" t="s">
        <v>229</v>
      </c>
      <c r="C139" s="85">
        <v>1</v>
      </c>
      <c r="D139" s="67" t="s">
        <v>8</v>
      </c>
      <c r="E139" s="135">
        <f>F49</f>
        <v>367.76</v>
      </c>
      <c r="F139" s="136">
        <f>C139*E139</f>
        <v>367.76</v>
      </c>
      <c r="G139" s="229" t="s">
        <v>244</v>
      </c>
    </row>
    <row r="140" spans="1:7" ht="26.25">
      <c r="A140" s="65" t="s">
        <v>13</v>
      </c>
      <c r="B140" s="134" t="s">
        <v>231</v>
      </c>
      <c r="C140" s="85">
        <v>0.42</v>
      </c>
      <c r="D140" s="67" t="s">
        <v>44</v>
      </c>
      <c r="E140" s="135">
        <v>1.07</v>
      </c>
      <c r="F140" s="136">
        <f aca="true" t="shared" si="4" ref="F140:F149">C140*E140</f>
        <v>0.4494</v>
      </c>
      <c r="G140" s="226">
        <v>90586</v>
      </c>
    </row>
    <row r="141" spans="1:7" ht="26.25">
      <c r="A141" s="65" t="s">
        <v>16</v>
      </c>
      <c r="B141" s="134" t="s">
        <v>230</v>
      </c>
      <c r="C141" s="85">
        <v>0.61</v>
      </c>
      <c r="D141" s="67" t="s">
        <v>44</v>
      </c>
      <c r="E141" s="135">
        <v>0.27</v>
      </c>
      <c r="F141" s="136">
        <f t="shared" si="4"/>
        <v>0.1647</v>
      </c>
      <c r="G141" s="226">
        <v>90587</v>
      </c>
    </row>
    <row r="142" spans="1:8" ht="12.75">
      <c r="A142" s="65" t="s">
        <v>25</v>
      </c>
      <c r="B142" s="180" t="s">
        <v>275</v>
      </c>
      <c r="C142" s="85">
        <v>18.5</v>
      </c>
      <c r="D142" s="67" t="s">
        <v>10</v>
      </c>
      <c r="E142" s="142">
        <v>8.27</v>
      </c>
      <c r="F142" s="136">
        <f t="shared" si="4"/>
        <v>152.995</v>
      </c>
      <c r="G142" s="226">
        <v>2736</v>
      </c>
      <c r="H142" s="151"/>
    </row>
    <row r="143" spans="1:8" ht="12.75">
      <c r="A143" s="65" t="s">
        <v>26</v>
      </c>
      <c r="B143" s="180" t="s">
        <v>276</v>
      </c>
      <c r="C143" s="85">
        <v>3.42</v>
      </c>
      <c r="D143" s="67" t="s">
        <v>14</v>
      </c>
      <c r="E143" s="142">
        <v>51.47</v>
      </c>
      <c r="F143" s="136">
        <f t="shared" si="4"/>
        <v>176.0274</v>
      </c>
      <c r="G143" s="229">
        <v>5970</v>
      </c>
      <c r="H143" s="151"/>
    </row>
    <row r="144" spans="1:7" ht="12.75">
      <c r="A144" s="65" t="s">
        <v>27</v>
      </c>
      <c r="B144" s="134" t="s">
        <v>178</v>
      </c>
      <c r="C144" s="85">
        <v>5.5</v>
      </c>
      <c r="D144" s="67" t="s">
        <v>44</v>
      </c>
      <c r="E144" s="135">
        <v>16.03</v>
      </c>
      <c r="F144" s="136">
        <f t="shared" si="4"/>
        <v>88.165</v>
      </c>
      <c r="G144" s="226" t="s">
        <v>209</v>
      </c>
    </row>
    <row r="145" spans="1:7" ht="12.75">
      <c r="A145" s="65" t="s">
        <v>28</v>
      </c>
      <c r="B145" s="134" t="s">
        <v>232</v>
      </c>
      <c r="C145" s="85">
        <v>0.51</v>
      </c>
      <c r="D145" s="67" t="s">
        <v>44</v>
      </c>
      <c r="E145" s="135">
        <v>16.03</v>
      </c>
      <c r="F145" s="136">
        <f t="shared" si="4"/>
        <v>8.1753</v>
      </c>
      <c r="G145" s="226" t="s">
        <v>119</v>
      </c>
    </row>
    <row r="146" spans="1:7" ht="12.75">
      <c r="A146" s="65" t="s">
        <v>148</v>
      </c>
      <c r="B146" s="134" t="s">
        <v>233</v>
      </c>
      <c r="C146" s="85">
        <v>0.51</v>
      </c>
      <c r="D146" s="67" t="s">
        <v>44</v>
      </c>
      <c r="E146" s="135">
        <v>18.99</v>
      </c>
      <c r="F146" s="136">
        <f t="shared" si="4"/>
        <v>9.684899999999999</v>
      </c>
      <c r="G146" s="226" t="s">
        <v>210</v>
      </c>
    </row>
    <row r="147" spans="1:7" ht="12.75">
      <c r="A147" s="65" t="s">
        <v>149</v>
      </c>
      <c r="B147" s="134" t="s">
        <v>183</v>
      </c>
      <c r="C147" s="85">
        <v>4.5</v>
      </c>
      <c r="D147" s="67" t="s">
        <v>44</v>
      </c>
      <c r="E147" s="135">
        <v>16.13</v>
      </c>
      <c r="F147" s="136">
        <f t="shared" si="4"/>
        <v>72.585</v>
      </c>
      <c r="G147" s="226" t="s">
        <v>120</v>
      </c>
    </row>
    <row r="148" spans="1:7" ht="12.75">
      <c r="A148" s="65" t="s">
        <v>150</v>
      </c>
      <c r="B148" s="134" t="s">
        <v>180</v>
      </c>
      <c r="C148" s="85">
        <v>5.5</v>
      </c>
      <c r="D148" s="67" t="s">
        <v>44</v>
      </c>
      <c r="E148" s="135">
        <v>13.17</v>
      </c>
      <c r="F148" s="136">
        <f t="shared" si="4"/>
        <v>72.435</v>
      </c>
      <c r="G148" s="226" t="s">
        <v>121</v>
      </c>
    </row>
    <row r="149" spans="1:7" ht="13.5" thickBot="1">
      <c r="A149" s="71" t="s">
        <v>227</v>
      </c>
      <c r="B149" s="137" t="s">
        <v>271</v>
      </c>
      <c r="C149" s="138">
        <v>1</v>
      </c>
      <c r="D149" s="73" t="s">
        <v>278</v>
      </c>
      <c r="E149" s="139">
        <v>467.39</v>
      </c>
      <c r="F149" s="136">
        <f t="shared" si="4"/>
        <v>467.39</v>
      </c>
      <c r="G149" s="226" t="s">
        <v>272</v>
      </c>
    </row>
    <row r="150" spans="1:6" ht="13.5" thickBot="1">
      <c r="A150" s="262" t="s">
        <v>174</v>
      </c>
      <c r="B150" s="263"/>
      <c r="C150" s="263"/>
      <c r="D150" s="263"/>
      <c r="E150" s="263"/>
      <c r="F150" s="127">
        <f>SUM(F139:F149)</f>
        <v>1415.8317000000002</v>
      </c>
    </row>
    <row r="153" ht="13.5" thickBot="1"/>
    <row r="154" spans="1:7" ht="38.25" customHeight="1" thickBot="1">
      <c r="A154" s="253" t="s">
        <v>282</v>
      </c>
      <c r="B154" s="254"/>
      <c r="C154" s="254"/>
      <c r="D154" s="255"/>
      <c r="E154" s="264" t="s">
        <v>145</v>
      </c>
      <c r="F154" s="265"/>
      <c r="G154" s="258" t="s">
        <v>277</v>
      </c>
    </row>
    <row r="155" spans="1:7" ht="27" thickBot="1">
      <c r="A155" s="123" t="s">
        <v>0</v>
      </c>
      <c r="B155" s="124" t="s">
        <v>48</v>
      </c>
      <c r="C155" s="124" t="s">
        <v>1</v>
      </c>
      <c r="D155" s="124" t="s">
        <v>2</v>
      </c>
      <c r="E155" s="59" t="s">
        <v>102</v>
      </c>
      <c r="F155" s="133" t="s">
        <v>146</v>
      </c>
      <c r="G155" s="259"/>
    </row>
    <row r="156" spans="1:7" ht="12.75">
      <c r="A156" s="78" t="s">
        <v>18</v>
      </c>
      <c r="B156" s="266" t="s">
        <v>208</v>
      </c>
      <c r="C156" s="266"/>
      <c r="D156" s="266"/>
      <c r="E156" s="266"/>
      <c r="F156" s="267"/>
      <c r="G156" s="225"/>
    </row>
    <row r="157" spans="1:7" ht="12.75">
      <c r="A157" s="65" t="s">
        <v>5</v>
      </c>
      <c r="B157" s="134" t="s">
        <v>229</v>
      </c>
      <c r="C157" s="85">
        <v>1</v>
      </c>
      <c r="D157" s="67" t="s">
        <v>8</v>
      </c>
      <c r="E157" s="135">
        <f>F49</f>
        <v>367.76</v>
      </c>
      <c r="F157" s="136">
        <f>C157*E157</f>
        <v>367.76</v>
      </c>
      <c r="G157" s="229" t="s">
        <v>244</v>
      </c>
    </row>
    <row r="158" spans="1:7" ht="26.25">
      <c r="A158" s="65" t="s">
        <v>13</v>
      </c>
      <c r="B158" s="134" t="s">
        <v>231</v>
      </c>
      <c r="C158" s="85">
        <v>0.42</v>
      </c>
      <c r="D158" s="67" t="s">
        <v>44</v>
      </c>
      <c r="E158" s="135">
        <v>1.07</v>
      </c>
      <c r="F158" s="136">
        <f aca="true" t="shared" si="5" ref="F158:F167">C158*E158</f>
        <v>0.4494</v>
      </c>
      <c r="G158" s="226">
        <v>90586</v>
      </c>
    </row>
    <row r="159" spans="1:7" ht="26.25">
      <c r="A159" s="65" t="s">
        <v>16</v>
      </c>
      <c r="B159" s="134" t="s">
        <v>230</v>
      </c>
      <c r="C159" s="85">
        <v>0.61</v>
      </c>
      <c r="D159" s="67" t="s">
        <v>44</v>
      </c>
      <c r="E159" s="135">
        <v>0.27</v>
      </c>
      <c r="F159" s="136">
        <f t="shared" si="5"/>
        <v>0.1647</v>
      </c>
      <c r="G159" s="226">
        <v>90587</v>
      </c>
    </row>
    <row r="160" spans="1:7" ht="12.75">
      <c r="A160" s="65" t="s">
        <v>25</v>
      </c>
      <c r="B160" s="180" t="s">
        <v>275</v>
      </c>
      <c r="C160" s="85">
        <v>46</v>
      </c>
      <c r="D160" s="67" t="s">
        <v>10</v>
      </c>
      <c r="E160" s="142">
        <v>8.27</v>
      </c>
      <c r="F160" s="136">
        <f t="shared" si="5"/>
        <v>380.41999999999996</v>
      </c>
      <c r="G160" s="226">
        <v>2736</v>
      </c>
    </row>
    <row r="161" spans="1:7" ht="12.75">
      <c r="A161" s="65" t="s">
        <v>26</v>
      </c>
      <c r="B161" s="180" t="s">
        <v>276</v>
      </c>
      <c r="C161" s="85">
        <v>6.72</v>
      </c>
      <c r="D161" s="67" t="s">
        <v>14</v>
      </c>
      <c r="E161" s="142">
        <v>51.47</v>
      </c>
      <c r="F161" s="136">
        <f t="shared" si="5"/>
        <v>345.8784</v>
      </c>
      <c r="G161" s="229">
        <v>5970</v>
      </c>
    </row>
    <row r="162" spans="1:7" ht="12.75">
      <c r="A162" s="65" t="s">
        <v>27</v>
      </c>
      <c r="B162" s="134" t="s">
        <v>178</v>
      </c>
      <c r="C162" s="85">
        <v>5.5</v>
      </c>
      <c r="D162" s="67" t="s">
        <v>44</v>
      </c>
      <c r="E162" s="135">
        <v>16.03</v>
      </c>
      <c r="F162" s="136">
        <f t="shared" si="5"/>
        <v>88.165</v>
      </c>
      <c r="G162" s="226" t="s">
        <v>209</v>
      </c>
    </row>
    <row r="163" spans="1:7" ht="12.75">
      <c r="A163" s="65" t="s">
        <v>28</v>
      </c>
      <c r="B163" s="134" t="s">
        <v>232</v>
      </c>
      <c r="C163" s="85">
        <v>0.51</v>
      </c>
      <c r="D163" s="67" t="s">
        <v>44</v>
      </c>
      <c r="E163" s="135">
        <v>16.03</v>
      </c>
      <c r="F163" s="136">
        <f t="shared" si="5"/>
        <v>8.1753</v>
      </c>
      <c r="G163" s="226" t="s">
        <v>119</v>
      </c>
    </row>
    <row r="164" spans="1:7" ht="12.75">
      <c r="A164" s="65" t="s">
        <v>148</v>
      </c>
      <c r="B164" s="134" t="s">
        <v>233</v>
      </c>
      <c r="C164" s="85">
        <v>0.51</v>
      </c>
      <c r="D164" s="67" t="s">
        <v>44</v>
      </c>
      <c r="E164" s="135">
        <v>18.99</v>
      </c>
      <c r="F164" s="136">
        <f t="shared" si="5"/>
        <v>9.684899999999999</v>
      </c>
      <c r="G164" s="226" t="s">
        <v>210</v>
      </c>
    </row>
    <row r="165" spans="1:7" ht="12.75">
      <c r="A165" s="65" t="s">
        <v>149</v>
      </c>
      <c r="B165" s="134" t="s">
        <v>183</v>
      </c>
      <c r="C165" s="85">
        <v>4.5</v>
      </c>
      <c r="D165" s="67" t="s">
        <v>44</v>
      </c>
      <c r="E165" s="135">
        <v>16.13</v>
      </c>
      <c r="F165" s="136">
        <f t="shared" si="5"/>
        <v>72.585</v>
      </c>
      <c r="G165" s="226" t="s">
        <v>120</v>
      </c>
    </row>
    <row r="166" spans="1:7" ht="12.75">
      <c r="A166" s="65" t="s">
        <v>150</v>
      </c>
      <c r="B166" s="134" t="s">
        <v>180</v>
      </c>
      <c r="C166" s="85">
        <v>5.5</v>
      </c>
      <c r="D166" s="67" t="s">
        <v>44</v>
      </c>
      <c r="E166" s="135">
        <v>13.17</v>
      </c>
      <c r="F166" s="136">
        <f t="shared" si="5"/>
        <v>72.435</v>
      </c>
      <c r="G166" s="226" t="s">
        <v>121</v>
      </c>
    </row>
    <row r="167" spans="1:8" ht="13.5" thickBot="1">
      <c r="A167" s="71" t="s">
        <v>227</v>
      </c>
      <c r="B167" s="137" t="s">
        <v>271</v>
      </c>
      <c r="C167" s="138">
        <v>1</v>
      </c>
      <c r="D167" s="73" t="s">
        <v>278</v>
      </c>
      <c r="E167" s="139">
        <v>467.39</v>
      </c>
      <c r="F167" s="136">
        <f t="shared" si="5"/>
        <v>467.39</v>
      </c>
      <c r="G167" s="226" t="s">
        <v>272</v>
      </c>
      <c r="H167" s="122">
        <f>F167+F157+F158+F159+F161+F162</f>
        <v>1269.8075</v>
      </c>
    </row>
    <row r="168" spans="1:6" ht="13.5" thickBot="1">
      <c r="A168" s="262" t="s">
        <v>174</v>
      </c>
      <c r="B168" s="263"/>
      <c r="C168" s="263"/>
      <c r="D168" s="263"/>
      <c r="E168" s="263"/>
      <c r="F168" s="127">
        <f>SUM(F157:F167)</f>
        <v>1813.1077</v>
      </c>
    </row>
    <row r="170" ht="13.5" thickBot="1"/>
    <row r="171" spans="1:7" ht="30" customHeight="1" thickBot="1">
      <c r="A171" s="253" t="s">
        <v>284</v>
      </c>
      <c r="B171" s="254"/>
      <c r="C171" s="254"/>
      <c r="D171" s="255"/>
      <c r="E171" s="264" t="s">
        <v>145</v>
      </c>
      <c r="F171" s="265"/>
      <c r="G171" s="258" t="s">
        <v>277</v>
      </c>
    </row>
    <row r="172" spans="1:7" ht="27" thickBot="1">
      <c r="A172" s="123" t="s">
        <v>0</v>
      </c>
      <c r="B172" s="124" t="s">
        <v>48</v>
      </c>
      <c r="C172" s="124" t="s">
        <v>1</v>
      </c>
      <c r="D172" s="124" t="s">
        <v>2</v>
      </c>
      <c r="E172" s="59" t="s">
        <v>102</v>
      </c>
      <c r="F172" s="133" t="s">
        <v>146</v>
      </c>
      <c r="G172" s="259"/>
    </row>
    <row r="173" spans="1:7" ht="12.75">
      <c r="A173" s="78" t="s">
        <v>18</v>
      </c>
      <c r="B173" s="266" t="s">
        <v>208</v>
      </c>
      <c r="C173" s="266"/>
      <c r="D173" s="266"/>
      <c r="E173" s="266"/>
      <c r="F173" s="267"/>
      <c r="G173" s="225"/>
    </row>
    <row r="174" spans="1:7" ht="12.75">
      <c r="A174" s="65" t="s">
        <v>5</v>
      </c>
      <c r="B174" s="134" t="s">
        <v>229</v>
      </c>
      <c r="C174" s="85">
        <v>1</v>
      </c>
      <c r="D174" s="67" t="s">
        <v>8</v>
      </c>
      <c r="E174" s="135">
        <f>F49</f>
        <v>367.76</v>
      </c>
      <c r="F174" s="136">
        <f>C174*E174</f>
        <v>367.76</v>
      </c>
      <c r="G174" s="229" t="s">
        <v>244</v>
      </c>
    </row>
    <row r="175" spans="1:8" ht="26.25">
      <c r="A175" s="65" t="s">
        <v>13</v>
      </c>
      <c r="B175" s="134" t="s">
        <v>231</v>
      </c>
      <c r="C175" s="85">
        <v>0.42</v>
      </c>
      <c r="D175" s="67" t="s">
        <v>44</v>
      </c>
      <c r="E175" s="135">
        <v>1.07</v>
      </c>
      <c r="F175" s="136">
        <f aca="true" t="shared" si="6" ref="F175:F184">C175*E175</f>
        <v>0.4494</v>
      </c>
      <c r="G175" s="226">
        <v>90586</v>
      </c>
      <c r="H175" s="20"/>
    </row>
    <row r="176" spans="1:7" ht="26.25">
      <c r="A176" s="65" t="s">
        <v>16</v>
      </c>
      <c r="B176" s="134" t="s">
        <v>230</v>
      </c>
      <c r="C176" s="85">
        <v>0.61</v>
      </c>
      <c r="D176" s="67" t="s">
        <v>44</v>
      </c>
      <c r="E176" s="135">
        <v>0.27</v>
      </c>
      <c r="F176" s="136">
        <f t="shared" si="6"/>
        <v>0.1647</v>
      </c>
      <c r="G176" s="226">
        <v>90587</v>
      </c>
    </row>
    <row r="177" spans="1:7" ht="12.75">
      <c r="A177" s="65" t="s">
        <v>25</v>
      </c>
      <c r="B177" s="180" t="s">
        <v>275</v>
      </c>
      <c r="C177" s="85">
        <v>39.2</v>
      </c>
      <c r="D177" s="67" t="s">
        <v>10</v>
      </c>
      <c r="E177" s="142">
        <v>8.27</v>
      </c>
      <c r="F177" s="136">
        <f t="shared" si="6"/>
        <v>324.184</v>
      </c>
      <c r="G177" s="226">
        <v>2736</v>
      </c>
    </row>
    <row r="178" spans="1:7" ht="12.75">
      <c r="A178" s="65" t="s">
        <v>26</v>
      </c>
      <c r="B178" s="180" t="s">
        <v>276</v>
      </c>
      <c r="C178" s="85">
        <v>4.2</v>
      </c>
      <c r="D178" s="67" t="s">
        <v>14</v>
      </c>
      <c r="E178" s="142">
        <v>51.47</v>
      </c>
      <c r="F178" s="136">
        <f t="shared" si="6"/>
        <v>216.174</v>
      </c>
      <c r="G178" s="229">
        <v>5970</v>
      </c>
    </row>
    <row r="179" spans="1:7" ht="12.75">
      <c r="A179" s="65" t="s">
        <v>27</v>
      </c>
      <c r="B179" s="134" t="s">
        <v>178</v>
      </c>
      <c r="C179" s="85">
        <v>5.5</v>
      </c>
      <c r="D179" s="67" t="s">
        <v>44</v>
      </c>
      <c r="E179" s="135">
        <v>16.03</v>
      </c>
      <c r="F179" s="136">
        <f t="shared" si="6"/>
        <v>88.165</v>
      </c>
      <c r="G179" s="226" t="s">
        <v>209</v>
      </c>
    </row>
    <row r="180" spans="1:7" ht="12.75">
      <c r="A180" s="65" t="s">
        <v>28</v>
      </c>
      <c r="B180" s="134" t="s">
        <v>232</v>
      </c>
      <c r="C180" s="85">
        <v>0.51</v>
      </c>
      <c r="D180" s="67" t="s">
        <v>44</v>
      </c>
      <c r="E180" s="135">
        <v>16.03</v>
      </c>
      <c r="F180" s="136">
        <f t="shared" si="6"/>
        <v>8.1753</v>
      </c>
      <c r="G180" s="226" t="s">
        <v>119</v>
      </c>
    </row>
    <row r="181" spans="1:7" ht="12.75">
      <c r="A181" s="65" t="s">
        <v>148</v>
      </c>
      <c r="B181" s="134" t="s">
        <v>233</v>
      </c>
      <c r="C181" s="85">
        <v>0.51</v>
      </c>
      <c r="D181" s="67" t="s">
        <v>44</v>
      </c>
      <c r="E181" s="135">
        <v>18.99</v>
      </c>
      <c r="F181" s="136">
        <f t="shared" si="6"/>
        <v>9.684899999999999</v>
      </c>
      <c r="G181" s="226" t="s">
        <v>210</v>
      </c>
    </row>
    <row r="182" spans="1:7" ht="12.75">
      <c r="A182" s="65" t="s">
        <v>149</v>
      </c>
      <c r="B182" s="134" t="s">
        <v>183</v>
      </c>
      <c r="C182" s="85">
        <v>4.5</v>
      </c>
      <c r="D182" s="67" t="s">
        <v>44</v>
      </c>
      <c r="E182" s="135">
        <v>16.13</v>
      </c>
      <c r="F182" s="136">
        <f t="shared" si="6"/>
        <v>72.585</v>
      </c>
      <c r="G182" s="226" t="s">
        <v>120</v>
      </c>
    </row>
    <row r="183" spans="1:7" ht="12.75">
      <c r="A183" s="65" t="s">
        <v>150</v>
      </c>
      <c r="B183" s="134" t="s">
        <v>180</v>
      </c>
      <c r="C183" s="85">
        <v>5.5</v>
      </c>
      <c r="D183" s="67" t="s">
        <v>44</v>
      </c>
      <c r="E183" s="135">
        <v>13.17</v>
      </c>
      <c r="F183" s="136">
        <f t="shared" si="6"/>
        <v>72.435</v>
      </c>
      <c r="G183" s="226" t="s">
        <v>121</v>
      </c>
    </row>
    <row r="184" spans="1:7" ht="13.5" thickBot="1">
      <c r="A184" s="71" t="s">
        <v>227</v>
      </c>
      <c r="B184" s="137" t="s">
        <v>271</v>
      </c>
      <c r="C184" s="138">
        <v>1</v>
      </c>
      <c r="D184" s="73" t="s">
        <v>278</v>
      </c>
      <c r="E184" s="139">
        <v>467.39</v>
      </c>
      <c r="F184" s="136">
        <f t="shared" si="6"/>
        <v>467.39</v>
      </c>
      <c r="G184" s="226" t="s">
        <v>272</v>
      </c>
    </row>
    <row r="185" spans="1:6" ht="13.5" thickBot="1">
      <c r="A185" s="262" t="s">
        <v>174</v>
      </c>
      <c r="B185" s="263"/>
      <c r="C185" s="263"/>
      <c r="D185" s="263"/>
      <c r="E185" s="263"/>
      <c r="F185" s="127">
        <f>SUM(F174:F184)</f>
        <v>1627.1672999999996</v>
      </c>
    </row>
    <row r="187" ht="13.5" thickBot="1"/>
    <row r="188" spans="1:7" ht="38.25" customHeight="1" thickBot="1">
      <c r="A188" s="253" t="s">
        <v>285</v>
      </c>
      <c r="B188" s="254"/>
      <c r="C188" s="254"/>
      <c r="D188" s="255"/>
      <c r="E188" s="264" t="s">
        <v>145</v>
      </c>
      <c r="F188" s="265"/>
      <c r="G188" s="258" t="s">
        <v>277</v>
      </c>
    </row>
    <row r="189" spans="1:7" ht="27" thickBot="1">
      <c r="A189" s="123" t="s">
        <v>0</v>
      </c>
      <c r="B189" s="124" t="s">
        <v>48</v>
      </c>
      <c r="C189" s="124" t="s">
        <v>1</v>
      </c>
      <c r="D189" s="124" t="s">
        <v>2</v>
      </c>
      <c r="E189" s="59" t="s">
        <v>102</v>
      </c>
      <c r="F189" s="133" t="s">
        <v>146</v>
      </c>
      <c r="G189" s="259"/>
    </row>
    <row r="190" spans="1:7" ht="12.75">
      <c r="A190" s="78" t="s">
        <v>18</v>
      </c>
      <c r="B190" s="266" t="s">
        <v>208</v>
      </c>
      <c r="C190" s="266"/>
      <c r="D190" s="266"/>
      <c r="E190" s="266"/>
      <c r="F190" s="267"/>
      <c r="G190" s="225"/>
    </row>
    <row r="191" spans="1:7" ht="12.75">
      <c r="A191" s="65" t="s">
        <v>5</v>
      </c>
      <c r="B191" s="134" t="s">
        <v>229</v>
      </c>
      <c r="C191" s="85">
        <v>1</v>
      </c>
      <c r="D191" s="67" t="s">
        <v>8</v>
      </c>
      <c r="E191" s="135">
        <f>$F$49</f>
        <v>367.76</v>
      </c>
      <c r="F191" s="136">
        <f>C191*E191</f>
        <v>367.76</v>
      </c>
      <c r="G191" s="229" t="s">
        <v>244</v>
      </c>
    </row>
    <row r="192" spans="1:7" ht="26.25">
      <c r="A192" s="65" t="s">
        <v>13</v>
      </c>
      <c r="B192" s="134" t="s">
        <v>231</v>
      </c>
      <c r="C192" s="85">
        <v>0.42</v>
      </c>
      <c r="D192" s="67" t="s">
        <v>44</v>
      </c>
      <c r="E192" s="135">
        <v>1.07</v>
      </c>
      <c r="F192" s="136">
        <f aca="true" t="shared" si="7" ref="F192:F201">C192*E192</f>
        <v>0.4494</v>
      </c>
      <c r="G192" s="226">
        <v>90586</v>
      </c>
    </row>
    <row r="193" spans="1:7" ht="26.25">
      <c r="A193" s="65" t="s">
        <v>16</v>
      </c>
      <c r="B193" s="134" t="s">
        <v>230</v>
      </c>
      <c r="C193" s="85">
        <v>0.61</v>
      </c>
      <c r="D193" s="67" t="s">
        <v>44</v>
      </c>
      <c r="E193" s="135">
        <v>0.27</v>
      </c>
      <c r="F193" s="136">
        <f t="shared" si="7"/>
        <v>0.1647</v>
      </c>
      <c r="G193" s="226">
        <v>90587</v>
      </c>
    </row>
    <row r="194" spans="1:7" ht="12.75">
      <c r="A194" s="65" t="s">
        <v>25</v>
      </c>
      <c r="B194" s="180" t="s">
        <v>275</v>
      </c>
      <c r="C194" s="85">
        <v>7.5</v>
      </c>
      <c r="D194" s="67" t="s">
        <v>10</v>
      </c>
      <c r="E194" s="142">
        <v>8.27</v>
      </c>
      <c r="F194" s="136">
        <f t="shared" si="7"/>
        <v>62.025</v>
      </c>
      <c r="G194" s="226">
        <v>2736</v>
      </c>
    </row>
    <row r="195" spans="1:7" ht="12.75">
      <c r="A195" s="65" t="s">
        <v>26</v>
      </c>
      <c r="B195" s="180" t="s">
        <v>276</v>
      </c>
      <c r="C195" s="85">
        <v>6.05</v>
      </c>
      <c r="D195" s="67" t="s">
        <v>14</v>
      </c>
      <c r="E195" s="142">
        <v>51.47</v>
      </c>
      <c r="F195" s="136">
        <f t="shared" si="7"/>
        <v>311.39349999999996</v>
      </c>
      <c r="G195" s="229">
        <v>5970</v>
      </c>
    </row>
    <row r="196" spans="1:7" ht="12.75">
      <c r="A196" s="65" t="s">
        <v>27</v>
      </c>
      <c r="B196" s="134" t="s">
        <v>178</v>
      </c>
      <c r="C196" s="85">
        <v>5.5</v>
      </c>
      <c r="D196" s="67" t="s">
        <v>44</v>
      </c>
      <c r="E196" s="135">
        <v>16.03</v>
      </c>
      <c r="F196" s="136">
        <f t="shared" si="7"/>
        <v>88.165</v>
      </c>
      <c r="G196" s="226" t="s">
        <v>209</v>
      </c>
    </row>
    <row r="197" spans="1:7" ht="12.75">
      <c r="A197" s="65" t="s">
        <v>28</v>
      </c>
      <c r="B197" s="134" t="s">
        <v>232</v>
      </c>
      <c r="C197" s="85">
        <v>0.51</v>
      </c>
      <c r="D197" s="67" t="s">
        <v>44</v>
      </c>
      <c r="E197" s="135">
        <v>16.03</v>
      </c>
      <c r="F197" s="136">
        <f t="shared" si="7"/>
        <v>8.1753</v>
      </c>
      <c r="G197" s="226" t="s">
        <v>119</v>
      </c>
    </row>
    <row r="198" spans="1:7" ht="12.75">
      <c r="A198" s="65" t="s">
        <v>148</v>
      </c>
      <c r="B198" s="134" t="s">
        <v>233</v>
      </c>
      <c r="C198" s="85">
        <v>0.51</v>
      </c>
      <c r="D198" s="67" t="s">
        <v>44</v>
      </c>
      <c r="E198" s="135">
        <v>18.99</v>
      </c>
      <c r="F198" s="136">
        <f t="shared" si="7"/>
        <v>9.684899999999999</v>
      </c>
      <c r="G198" s="226" t="s">
        <v>210</v>
      </c>
    </row>
    <row r="199" spans="1:7" ht="12.75">
      <c r="A199" s="65" t="s">
        <v>149</v>
      </c>
      <c r="B199" s="134" t="s">
        <v>183</v>
      </c>
      <c r="C199" s="85">
        <v>4.5</v>
      </c>
      <c r="D199" s="67" t="s">
        <v>44</v>
      </c>
      <c r="E199" s="135">
        <v>16.13</v>
      </c>
      <c r="F199" s="136">
        <f t="shared" si="7"/>
        <v>72.585</v>
      </c>
      <c r="G199" s="226" t="s">
        <v>120</v>
      </c>
    </row>
    <row r="200" spans="1:7" ht="12.75">
      <c r="A200" s="65" t="s">
        <v>150</v>
      </c>
      <c r="B200" s="134" t="s">
        <v>180</v>
      </c>
      <c r="C200" s="85">
        <v>5.5</v>
      </c>
      <c r="D200" s="67" t="s">
        <v>44</v>
      </c>
      <c r="E200" s="135">
        <v>13.17</v>
      </c>
      <c r="F200" s="136">
        <f t="shared" si="7"/>
        <v>72.435</v>
      </c>
      <c r="G200" s="226" t="s">
        <v>121</v>
      </c>
    </row>
    <row r="201" spans="1:7" ht="13.5" thickBot="1">
      <c r="A201" s="71" t="s">
        <v>227</v>
      </c>
      <c r="B201" s="137" t="s">
        <v>271</v>
      </c>
      <c r="C201" s="138">
        <v>1</v>
      </c>
      <c r="D201" s="73" t="s">
        <v>278</v>
      </c>
      <c r="E201" s="139">
        <v>467.39</v>
      </c>
      <c r="F201" s="136">
        <f t="shared" si="7"/>
        <v>467.39</v>
      </c>
      <c r="G201" s="226" t="s">
        <v>272</v>
      </c>
    </row>
    <row r="202" spans="1:6" ht="13.5" thickBot="1">
      <c r="A202" s="262" t="s">
        <v>174</v>
      </c>
      <c r="B202" s="263"/>
      <c r="C202" s="263"/>
      <c r="D202" s="263"/>
      <c r="E202" s="263"/>
      <c r="F202" s="127">
        <f>SUM(F191:F201)</f>
        <v>1460.2278000000001</v>
      </c>
    </row>
    <row r="204" ht="13.5" thickBot="1"/>
    <row r="205" spans="1:7" ht="35.25" customHeight="1" thickBot="1">
      <c r="A205" s="253" t="s">
        <v>288</v>
      </c>
      <c r="B205" s="254"/>
      <c r="C205" s="254"/>
      <c r="D205" s="255"/>
      <c r="E205" s="256" t="s">
        <v>145</v>
      </c>
      <c r="F205" s="257"/>
      <c r="G205" s="258" t="s">
        <v>277</v>
      </c>
    </row>
    <row r="206" spans="1:7" ht="27" thickBot="1">
      <c r="A206" s="181" t="s">
        <v>0</v>
      </c>
      <c r="B206" s="182" t="s">
        <v>48</v>
      </c>
      <c r="C206" s="182" t="s">
        <v>1</v>
      </c>
      <c r="D206" s="182" t="s">
        <v>2</v>
      </c>
      <c r="E206" s="183" t="s">
        <v>102</v>
      </c>
      <c r="F206" s="184" t="s">
        <v>146</v>
      </c>
      <c r="G206" s="259"/>
    </row>
    <row r="207" spans="1:7" ht="12.75">
      <c r="A207" s="185" t="s">
        <v>18</v>
      </c>
      <c r="B207" s="260" t="s">
        <v>208</v>
      </c>
      <c r="C207" s="260"/>
      <c r="D207" s="260"/>
      <c r="E207" s="260"/>
      <c r="F207" s="261"/>
      <c r="G207" s="225"/>
    </row>
    <row r="208" spans="1:7" ht="12.75">
      <c r="A208" s="186" t="s">
        <v>5</v>
      </c>
      <c r="B208" s="187" t="s">
        <v>229</v>
      </c>
      <c r="C208" s="188">
        <v>1</v>
      </c>
      <c r="D208" s="189" t="s">
        <v>8</v>
      </c>
      <c r="E208" s="135">
        <f>$F$49</f>
        <v>367.76</v>
      </c>
      <c r="F208" s="190">
        <f>C208*E208</f>
        <v>367.76</v>
      </c>
      <c r="G208" s="229" t="s">
        <v>244</v>
      </c>
    </row>
    <row r="209" spans="1:7" ht="26.25">
      <c r="A209" s="186" t="s">
        <v>13</v>
      </c>
      <c r="B209" s="187" t="s">
        <v>231</v>
      </c>
      <c r="C209" s="188">
        <v>0.42</v>
      </c>
      <c r="D209" s="189" t="s">
        <v>44</v>
      </c>
      <c r="E209" s="135">
        <v>1.07</v>
      </c>
      <c r="F209" s="190">
        <f aca="true" t="shared" si="8" ref="F209:F217">C209*E209</f>
        <v>0.4494</v>
      </c>
      <c r="G209" s="226">
        <v>90586</v>
      </c>
    </row>
    <row r="210" spans="1:7" ht="26.25">
      <c r="A210" s="186" t="s">
        <v>16</v>
      </c>
      <c r="B210" s="187" t="s">
        <v>230</v>
      </c>
      <c r="C210" s="188">
        <v>0.61</v>
      </c>
      <c r="D210" s="189" t="s">
        <v>44</v>
      </c>
      <c r="E210" s="135">
        <v>0.27</v>
      </c>
      <c r="F210" s="190">
        <f t="shared" si="8"/>
        <v>0.1647</v>
      </c>
      <c r="G210" s="226">
        <v>90587</v>
      </c>
    </row>
    <row r="211" spans="1:7" ht="12.75">
      <c r="A211" s="186" t="s">
        <v>26</v>
      </c>
      <c r="B211" s="187" t="s">
        <v>276</v>
      </c>
      <c r="C211" s="188">
        <v>10</v>
      </c>
      <c r="D211" s="189" t="s">
        <v>14</v>
      </c>
      <c r="E211" s="135">
        <v>51.47</v>
      </c>
      <c r="F211" s="190">
        <f t="shared" si="8"/>
        <v>514.7</v>
      </c>
      <c r="G211" s="229">
        <v>5970</v>
      </c>
    </row>
    <row r="212" spans="1:7" ht="12.75">
      <c r="A212" s="186" t="s">
        <v>27</v>
      </c>
      <c r="B212" s="187" t="s">
        <v>178</v>
      </c>
      <c r="C212" s="188">
        <v>4.5</v>
      </c>
      <c r="D212" s="189" t="s">
        <v>44</v>
      </c>
      <c r="E212" s="135">
        <v>16.03</v>
      </c>
      <c r="F212" s="190">
        <f t="shared" si="8"/>
        <v>72.135</v>
      </c>
      <c r="G212" s="226" t="s">
        <v>209</v>
      </c>
    </row>
    <row r="213" spans="1:7" ht="12.75">
      <c r="A213" s="186" t="s">
        <v>28</v>
      </c>
      <c r="B213" s="187" t="s">
        <v>232</v>
      </c>
      <c r="C213" s="188">
        <v>0.51</v>
      </c>
      <c r="D213" s="189" t="s">
        <v>44</v>
      </c>
      <c r="E213" s="135">
        <v>16.03</v>
      </c>
      <c r="F213" s="190">
        <f t="shared" si="8"/>
        <v>8.1753</v>
      </c>
      <c r="G213" s="226" t="s">
        <v>119</v>
      </c>
    </row>
    <row r="214" spans="1:7" ht="12.75">
      <c r="A214" s="186" t="s">
        <v>148</v>
      </c>
      <c r="B214" s="187" t="s">
        <v>233</v>
      </c>
      <c r="C214" s="188">
        <v>0.51</v>
      </c>
      <c r="D214" s="189" t="s">
        <v>44</v>
      </c>
      <c r="E214" s="135">
        <v>18.99</v>
      </c>
      <c r="F214" s="190">
        <f t="shared" si="8"/>
        <v>9.684899999999999</v>
      </c>
      <c r="G214" s="226" t="s">
        <v>210</v>
      </c>
    </row>
    <row r="215" spans="1:7" ht="12.75">
      <c r="A215" s="186" t="s">
        <v>149</v>
      </c>
      <c r="B215" s="187" t="s">
        <v>183</v>
      </c>
      <c r="C215" s="188">
        <v>3.5</v>
      </c>
      <c r="D215" s="189" t="s">
        <v>44</v>
      </c>
      <c r="E215" s="135">
        <v>16.13</v>
      </c>
      <c r="F215" s="190">
        <f t="shared" si="8"/>
        <v>56.455</v>
      </c>
      <c r="G215" s="226" t="s">
        <v>120</v>
      </c>
    </row>
    <row r="216" spans="1:7" ht="12.75">
      <c r="A216" s="186" t="s">
        <v>150</v>
      </c>
      <c r="B216" s="187" t="s">
        <v>180</v>
      </c>
      <c r="C216" s="188">
        <v>4.5</v>
      </c>
      <c r="D216" s="189" t="s">
        <v>44</v>
      </c>
      <c r="E216" s="135">
        <v>13.17</v>
      </c>
      <c r="F216" s="190">
        <f t="shared" si="8"/>
        <v>59.265</v>
      </c>
      <c r="G216" s="226" t="s">
        <v>121</v>
      </c>
    </row>
    <row r="217" spans="1:7" ht="13.5" thickBot="1">
      <c r="A217" s="191" t="s">
        <v>227</v>
      </c>
      <c r="B217" s="192" t="s">
        <v>271</v>
      </c>
      <c r="C217" s="193">
        <v>1</v>
      </c>
      <c r="D217" s="194" t="s">
        <v>278</v>
      </c>
      <c r="E217" s="139">
        <v>467.39</v>
      </c>
      <c r="F217" s="190">
        <f t="shared" si="8"/>
        <v>467.39</v>
      </c>
      <c r="G217" s="226" t="s">
        <v>272</v>
      </c>
    </row>
    <row r="218" spans="1:6" ht="13.5" thickBot="1">
      <c r="A218" s="251" t="s">
        <v>174</v>
      </c>
      <c r="B218" s="252"/>
      <c r="C218" s="252"/>
      <c r="D218" s="252"/>
      <c r="E218" s="252"/>
      <c r="F218" s="195">
        <f>SUM(F208:F217)</f>
        <v>1556.1793000000002</v>
      </c>
    </row>
    <row r="220" ht="13.5" thickBot="1"/>
    <row r="221" spans="1:7" ht="29.25" customHeight="1" thickBot="1">
      <c r="A221" s="253" t="s">
        <v>290</v>
      </c>
      <c r="B221" s="254"/>
      <c r="C221" s="254"/>
      <c r="D221" s="255"/>
      <c r="E221" s="256" t="s">
        <v>145</v>
      </c>
      <c r="F221" s="257"/>
      <c r="G221" s="258" t="s">
        <v>277</v>
      </c>
    </row>
    <row r="222" spans="1:7" ht="27" thickBot="1">
      <c r="A222" s="181" t="s">
        <v>0</v>
      </c>
      <c r="B222" s="182" t="s">
        <v>48</v>
      </c>
      <c r="C222" s="182" t="s">
        <v>1</v>
      </c>
      <c r="D222" s="182" t="s">
        <v>2</v>
      </c>
      <c r="E222" s="183" t="s">
        <v>102</v>
      </c>
      <c r="F222" s="184" t="s">
        <v>146</v>
      </c>
      <c r="G222" s="259"/>
    </row>
    <row r="223" spans="1:7" ht="12.75">
      <c r="A223" s="185" t="s">
        <v>18</v>
      </c>
      <c r="B223" s="260" t="s">
        <v>208</v>
      </c>
      <c r="C223" s="260"/>
      <c r="D223" s="260"/>
      <c r="E223" s="260"/>
      <c r="F223" s="261"/>
      <c r="G223" s="225"/>
    </row>
    <row r="224" spans="1:7" ht="12.75">
      <c r="A224" s="186" t="s">
        <v>5</v>
      </c>
      <c r="B224" s="187" t="s">
        <v>229</v>
      </c>
      <c r="C224" s="188">
        <v>1</v>
      </c>
      <c r="D224" s="189" t="s">
        <v>8</v>
      </c>
      <c r="E224" s="135">
        <f>$F$49</f>
        <v>367.76</v>
      </c>
      <c r="F224" s="190">
        <f>C224*E224</f>
        <v>367.76</v>
      </c>
      <c r="G224" s="229" t="s">
        <v>244</v>
      </c>
    </row>
    <row r="225" spans="1:7" ht="26.25">
      <c r="A225" s="186" t="s">
        <v>13</v>
      </c>
      <c r="B225" s="187" t="s">
        <v>231</v>
      </c>
      <c r="C225" s="188">
        <v>0.42</v>
      </c>
      <c r="D225" s="189" t="s">
        <v>44</v>
      </c>
      <c r="E225" s="135">
        <v>1.07</v>
      </c>
      <c r="F225" s="190">
        <f aca="true" t="shared" si="9" ref="F225:F233">C225*E225</f>
        <v>0.4494</v>
      </c>
      <c r="G225" s="226">
        <v>90586</v>
      </c>
    </row>
    <row r="226" spans="1:7" ht="26.25">
      <c r="A226" s="186" t="s">
        <v>16</v>
      </c>
      <c r="B226" s="187" t="s">
        <v>230</v>
      </c>
      <c r="C226" s="188">
        <v>0.61</v>
      </c>
      <c r="D226" s="189" t="s">
        <v>44</v>
      </c>
      <c r="E226" s="135">
        <v>0.27</v>
      </c>
      <c r="F226" s="190">
        <f t="shared" si="9"/>
        <v>0.1647</v>
      </c>
      <c r="G226" s="226">
        <v>90587</v>
      </c>
    </row>
    <row r="227" spans="1:7" ht="12.75">
      <c r="A227" s="186" t="s">
        <v>26</v>
      </c>
      <c r="B227" s="187" t="s">
        <v>276</v>
      </c>
      <c r="C227" s="188">
        <v>10</v>
      </c>
      <c r="D227" s="189" t="s">
        <v>14</v>
      </c>
      <c r="E227" s="135">
        <v>51.47</v>
      </c>
      <c r="F227" s="190">
        <f t="shared" si="9"/>
        <v>514.7</v>
      </c>
      <c r="G227" s="229">
        <v>5970</v>
      </c>
    </row>
    <row r="228" spans="1:7" ht="12.75">
      <c r="A228" s="186" t="s">
        <v>27</v>
      </c>
      <c r="B228" s="187" t="s">
        <v>178</v>
      </c>
      <c r="C228" s="188">
        <v>3.5</v>
      </c>
      <c r="D228" s="189" t="s">
        <v>44</v>
      </c>
      <c r="E228" s="135">
        <v>16.03</v>
      </c>
      <c r="F228" s="190">
        <f t="shared" si="9"/>
        <v>56.105000000000004</v>
      </c>
      <c r="G228" s="226" t="s">
        <v>209</v>
      </c>
    </row>
    <row r="229" spans="1:7" ht="12.75">
      <c r="A229" s="186" t="s">
        <v>28</v>
      </c>
      <c r="B229" s="187" t="s">
        <v>232</v>
      </c>
      <c r="C229" s="188">
        <v>0.51</v>
      </c>
      <c r="D229" s="189" t="s">
        <v>44</v>
      </c>
      <c r="E229" s="135">
        <v>16.03</v>
      </c>
      <c r="F229" s="190">
        <f t="shared" si="9"/>
        <v>8.1753</v>
      </c>
      <c r="G229" s="226" t="s">
        <v>119</v>
      </c>
    </row>
    <row r="230" spans="1:7" ht="12.75">
      <c r="A230" s="186" t="s">
        <v>148</v>
      </c>
      <c r="B230" s="187" t="s">
        <v>233</v>
      </c>
      <c r="C230" s="188">
        <v>0.51</v>
      </c>
      <c r="D230" s="189" t="s">
        <v>44</v>
      </c>
      <c r="E230" s="135">
        <v>18.99</v>
      </c>
      <c r="F230" s="190">
        <f t="shared" si="9"/>
        <v>9.684899999999999</v>
      </c>
      <c r="G230" s="226" t="s">
        <v>210</v>
      </c>
    </row>
    <row r="231" spans="1:7" ht="12.75">
      <c r="A231" s="186" t="s">
        <v>149</v>
      </c>
      <c r="B231" s="187" t="s">
        <v>183</v>
      </c>
      <c r="C231" s="188">
        <v>2</v>
      </c>
      <c r="D231" s="189" t="s">
        <v>44</v>
      </c>
      <c r="E231" s="135">
        <v>16.13</v>
      </c>
      <c r="F231" s="190">
        <f t="shared" si="9"/>
        <v>32.26</v>
      </c>
      <c r="G231" s="226" t="s">
        <v>120</v>
      </c>
    </row>
    <row r="232" spans="1:7" ht="12.75">
      <c r="A232" s="186" t="s">
        <v>150</v>
      </c>
      <c r="B232" s="187" t="s">
        <v>180</v>
      </c>
      <c r="C232" s="188">
        <v>3.5</v>
      </c>
      <c r="D232" s="189" t="s">
        <v>44</v>
      </c>
      <c r="E232" s="135">
        <v>13.17</v>
      </c>
      <c r="F232" s="190">
        <f t="shared" si="9"/>
        <v>46.095</v>
      </c>
      <c r="G232" s="226" t="s">
        <v>121</v>
      </c>
    </row>
    <row r="233" spans="1:7" ht="13.5" thickBot="1">
      <c r="A233" s="191" t="s">
        <v>227</v>
      </c>
      <c r="B233" s="192" t="s">
        <v>271</v>
      </c>
      <c r="C233" s="193">
        <v>1</v>
      </c>
      <c r="D233" s="194" t="s">
        <v>278</v>
      </c>
      <c r="E233" s="139">
        <v>467.39</v>
      </c>
      <c r="F233" s="190">
        <f t="shared" si="9"/>
        <v>467.39</v>
      </c>
      <c r="G233" s="226" t="s">
        <v>272</v>
      </c>
    </row>
    <row r="234" spans="1:6" ht="13.5" thickBot="1">
      <c r="A234" s="251" t="s">
        <v>174</v>
      </c>
      <c r="B234" s="252"/>
      <c r="C234" s="252"/>
      <c r="D234" s="252"/>
      <c r="E234" s="252"/>
      <c r="F234" s="195">
        <f>SUM(F224:F233)</f>
        <v>1502.7842999999998</v>
      </c>
    </row>
    <row r="235" spans="1:6" ht="12.75">
      <c r="A235" s="196"/>
      <c r="B235" s="196"/>
      <c r="C235" s="196"/>
      <c r="D235" s="196"/>
      <c r="E235" s="196"/>
      <c r="F235" s="197"/>
    </row>
    <row r="236" spans="1:6" ht="12.75">
      <c r="A236" s="196"/>
      <c r="B236" s="196"/>
      <c r="C236" s="196"/>
      <c r="D236" s="196"/>
      <c r="E236" s="196"/>
      <c r="F236" s="197"/>
    </row>
    <row r="237" spans="1:6" ht="12.75">
      <c r="A237" s="196"/>
      <c r="B237" s="196"/>
      <c r="C237" s="196"/>
      <c r="D237" s="196"/>
      <c r="E237" s="196"/>
      <c r="F237" s="197"/>
    </row>
    <row r="238" spans="1:7" ht="29.25" customHeight="1" hidden="1" thickBot="1">
      <c r="A238" s="253" t="s">
        <v>290</v>
      </c>
      <c r="B238" s="254"/>
      <c r="C238" s="254"/>
      <c r="D238" s="255"/>
      <c r="E238" s="301" t="s">
        <v>145</v>
      </c>
      <c r="F238" s="302"/>
      <c r="G238" s="303" t="s">
        <v>277</v>
      </c>
    </row>
    <row r="239" spans="1:7" ht="27" hidden="1" thickBot="1">
      <c r="A239" s="181" t="s">
        <v>0</v>
      </c>
      <c r="B239" s="182" t="s">
        <v>48</v>
      </c>
      <c r="C239" s="182" t="s">
        <v>1</v>
      </c>
      <c r="D239" s="182" t="s">
        <v>2</v>
      </c>
      <c r="E239" s="183" t="s">
        <v>102</v>
      </c>
      <c r="F239" s="184" t="s">
        <v>146</v>
      </c>
      <c r="G239" s="304"/>
    </row>
    <row r="240" spans="1:7" ht="12.75" customHeight="1" hidden="1">
      <c r="A240" s="185" t="s">
        <v>18</v>
      </c>
      <c r="B240" s="305" t="s">
        <v>208</v>
      </c>
      <c r="C240" s="306"/>
      <c r="D240" s="306"/>
      <c r="E240" s="306"/>
      <c r="F240" s="307"/>
      <c r="G240" s="225"/>
    </row>
    <row r="241" spans="1:7" ht="12.75" hidden="1">
      <c r="A241" s="186" t="s">
        <v>5</v>
      </c>
      <c r="B241" s="187" t="s">
        <v>229</v>
      </c>
      <c r="C241" s="188">
        <v>1</v>
      </c>
      <c r="D241" s="189" t="s">
        <v>8</v>
      </c>
      <c r="E241" s="135">
        <f>$F$49</f>
        <v>367.76</v>
      </c>
      <c r="F241" s="190">
        <f>C241*E241</f>
        <v>367.76</v>
      </c>
      <c r="G241" s="229" t="s">
        <v>244</v>
      </c>
    </row>
    <row r="242" spans="1:7" ht="26.25" hidden="1">
      <c r="A242" s="186" t="s">
        <v>13</v>
      </c>
      <c r="B242" s="187" t="s">
        <v>231</v>
      </c>
      <c r="C242" s="188">
        <v>0.42</v>
      </c>
      <c r="D242" s="189" t="s">
        <v>44</v>
      </c>
      <c r="E242" s="135">
        <v>1.07</v>
      </c>
      <c r="F242" s="190">
        <f aca="true" t="shared" si="10" ref="F242:F250">C242*E242</f>
        <v>0.4494</v>
      </c>
      <c r="G242" s="226">
        <v>90586</v>
      </c>
    </row>
    <row r="243" spans="1:7" ht="26.25" hidden="1">
      <c r="A243" s="186" t="s">
        <v>16</v>
      </c>
      <c r="B243" s="187" t="s">
        <v>230</v>
      </c>
      <c r="C243" s="188">
        <v>0.61</v>
      </c>
      <c r="D243" s="189" t="s">
        <v>44</v>
      </c>
      <c r="E243" s="135">
        <v>0.27</v>
      </c>
      <c r="F243" s="190">
        <f t="shared" si="10"/>
        <v>0.1647</v>
      </c>
      <c r="G243" s="226">
        <v>90587</v>
      </c>
    </row>
    <row r="244" spans="1:7" ht="12.75" hidden="1">
      <c r="A244" s="186" t="s">
        <v>26</v>
      </c>
      <c r="B244" s="187" t="s">
        <v>276</v>
      </c>
      <c r="C244" s="188">
        <v>10</v>
      </c>
      <c r="D244" s="189" t="s">
        <v>14</v>
      </c>
      <c r="E244" s="135">
        <v>51.47</v>
      </c>
      <c r="F244" s="190">
        <f t="shared" si="10"/>
        <v>514.7</v>
      </c>
      <c r="G244" s="229">
        <v>5970</v>
      </c>
    </row>
    <row r="245" spans="1:7" ht="12.75" hidden="1">
      <c r="A245" s="186" t="s">
        <v>27</v>
      </c>
      <c r="B245" s="187" t="s">
        <v>178</v>
      </c>
      <c r="C245" s="188">
        <v>6.5</v>
      </c>
      <c r="D245" s="189" t="s">
        <v>44</v>
      </c>
      <c r="E245" s="135">
        <v>16.03</v>
      </c>
      <c r="F245" s="190">
        <f t="shared" si="10"/>
        <v>104.19500000000001</v>
      </c>
      <c r="G245" s="226" t="s">
        <v>209</v>
      </c>
    </row>
    <row r="246" spans="1:7" ht="12.75" hidden="1">
      <c r="A246" s="186" t="s">
        <v>28</v>
      </c>
      <c r="B246" s="187" t="s">
        <v>232</v>
      </c>
      <c r="C246" s="188">
        <v>0.51</v>
      </c>
      <c r="D246" s="189" t="s">
        <v>44</v>
      </c>
      <c r="E246" s="135">
        <v>16.03</v>
      </c>
      <c r="F246" s="190">
        <f t="shared" si="10"/>
        <v>8.1753</v>
      </c>
      <c r="G246" s="226" t="s">
        <v>119</v>
      </c>
    </row>
    <row r="247" spans="1:7" ht="12.75" hidden="1">
      <c r="A247" s="186" t="s">
        <v>148</v>
      </c>
      <c r="B247" s="187" t="s">
        <v>233</v>
      </c>
      <c r="C247" s="188">
        <v>0.51</v>
      </c>
      <c r="D247" s="189" t="s">
        <v>44</v>
      </c>
      <c r="E247" s="135">
        <v>18.99</v>
      </c>
      <c r="F247" s="190">
        <f t="shared" si="10"/>
        <v>9.684899999999999</v>
      </c>
      <c r="G247" s="226" t="s">
        <v>210</v>
      </c>
    </row>
    <row r="248" spans="1:7" ht="12.75" hidden="1">
      <c r="A248" s="186" t="s">
        <v>149</v>
      </c>
      <c r="B248" s="187" t="s">
        <v>183</v>
      </c>
      <c r="C248" s="188">
        <v>4.5</v>
      </c>
      <c r="D248" s="189" t="s">
        <v>44</v>
      </c>
      <c r="E248" s="135">
        <v>16.13</v>
      </c>
      <c r="F248" s="190">
        <f t="shared" si="10"/>
        <v>72.585</v>
      </c>
      <c r="G248" s="226" t="s">
        <v>120</v>
      </c>
    </row>
    <row r="249" spans="1:7" ht="12.75" hidden="1">
      <c r="A249" s="186" t="s">
        <v>150</v>
      </c>
      <c r="B249" s="187" t="s">
        <v>180</v>
      </c>
      <c r="C249" s="188">
        <v>6.5</v>
      </c>
      <c r="D249" s="189" t="s">
        <v>44</v>
      </c>
      <c r="E249" s="135">
        <v>13.17</v>
      </c>
      <c r="F249" s="190">
        <f t="shared" si="10"/>
        <v>85.605</v>
      </c>
      <c r="G249" s="226" t="s">
        <v>121</v>
      </c>
    </row>
    <row r="250" spans="1:7" ht="13.5" hidden="1" thickBot="1">
      <c r="A250" s="191" t="s">
        <v>227</v>
      </c>
      <c r="B250" s="192" t="s">
        <v>271</v>
      </c>
      <c r="C250" s="193">
        <v>1</v>
      </c>
      <c r="D250" s="194" t="s">
        <v>278</v>
      </c>
      <c r="E250" s="139">
        <v>467.39</v>
      </c>
      <c r="F250" s="190">
        <f t="shared" si="10"/>
        <v>467.39</v>
      </c>
      <c r="G250" s="226" t="s">
        <v>272</v>
      </c>
    </row>
    <row r="251" spans="1:6" ht="13.5" hidden="1" thickBot="1">
      <c r="A251" s="308" t="s">
        <v>174</v>
      </c>
      <c r="B251" s="309"/>
      <c r="C251" s="309"/>
      <c r="D251" s="309"/>
      <c r="E251" s="310"/>
      <c r="F251" s="195" t="s">
        <v>319</v>
      </c>
    </row>
    <row r="252" spans="1:6" ht="12.75">
      <c r="A252" s="196"/>
      <c r="B252" s="196"/>
      <c r="C252" s="196"/>
      <c r="D252" s="196"/>
      <c r="E252" s="196"/>
      <c r="F252" s="197"/>
    </row>
    <row r="253" spans="1:6" ht="13.5" thickBot="1">
      <c r="A253" s="196"/>
      <c r="B253" s="196"/>
      <c r="C253" s="196"/>
      <c r="D253" s="196"/>
      <c r="E253" s="196"/>
      <c r="F253" s="197"/>
    </row>
    <row r="254" spans="1:7" ht="13.5" thickBot="1">
      <c r="A254" s="253" t="s">
        <v>295</v>
      </c>
      <c r="B254" s="254"/>
      <c r="C254" s="254"/>
      <c r="D254" s="255"/>
      <c r="E254" s="301" t="s">
        <v>145</v>
      </c>
      <c r="F254" s="302"/>
      <c r="G254" s="303" t="s">
        <v>277</v>
      </c>
    </row>
    <row r="255" spans="1:7" ht="27" thickBot="1">
      <c r="A255" s="181" t="s">
        <v>0</v>
      </c>
      <c r="B255" s="182" t="s">
        <v>48</v>
      </c>
      <c r="C255" s="182" t="s">
        <v>1</v>
      </c>
      <c r="D255" s="182" t="s">
        <v>2</v>
      </c>
      <c r="E255" s="183" t="s">
        <v>102</v>
      </c>
      <c r="F255" s="184" t="s">
        <v>146</v>
      </c>
      <c r="G255" s="304"/>
    </row>
    <row r="256" spans="1:7" ht="12.75">
      <c r="A256" s="185" t="s">
        <v>18</v>
      </c>
      <c r="B256" s="305" t="s">
        <v>292</v>
      </c>
      <c r="C256" s="306"/>
      <c r="D256" s="306"/>
      <c r="E256" s="306"/>
      <c r="F256" s="307"/>
      <c r="G256" s="225"/>
    </row>
    <row r="257" spans="1:7" ht="12.75">
      <c r="A257" s="186" t="s">
        <v>5</v>
      </c>
      <c r="B257" s="187" t="s">
        <v>293</v>
      </c>
      <c r="C257" s="188">
        <v>1.1</v>
      </c>
      <c r="D257" s="189" t="s">
        <v>8</v>
      </c>
      <c r="E257" s="135">
        <v>357.05</v>
      </c>
      <c r="F257" s="190">
        <f>C257*E257</f>
        <v>392.75500000000005</v>
      </c>
      <c r="G257" s="229">
        <v>11145</v>
      </c>
    </row>
    <row r="258" spans="1:7" ht="26.25">
      <c r="A258" s="186" t="s">
        <v>13</v>
      </c>
      <c r="B258" s="187" t="s">
        <v>231</v>
      </c>
      <c r="C258" s="85">
        <v>1.2</v>
      </c>
      <c r="D258" s="189" t="s">
        <v>44</v>
      </c>
      <c r="E258" s="135">
        <v>1.07</v>
      </c>
      <c r="F258" s="190">
        <f aca="true" t="shared" si="11" ref="F258:F266">C258*E258</f>
        <v>1.284</v>
      </c>
      <c r="G258" s="226">
        <v>90586</v>
      </c>
    </row>
    <row r="259" spans="1:7" ht="26.25">
      <c r="A259" s="186" t="s">
        <v>16</v>
      </c>
      <c r="B259" s="187" t="s">
        <v>230</v>
      </c>
      <c r="C259" s="85">
        <v>0.87</v>
      </c>
      <c r="D259" s="189" t="s">
        <v>44</v>
      </c>
      <c r="E259" s="135">
        <v>0.27</v>
      </c>
      <c r="F259" s="190">
        <f t="shared" si="11"/>
        <v>0.23490000000000003</v>
      </c>
      <c r="G259" s="226">
        <v>90587</v>
      </c>
    </row>
    <row r="260" spans="1:7" ht="12.75">
      <c r="A260" s="186" t="s">
        <v>26</v>
      </c>
      <c r="B260" s="187" t="s">
        <v>294</v>
      </c>
      <c r="C260" s="188">
        <v>22.05</v>
      </c>
      <c r="D260" s="189" t="s">
        <v>14</v>
      </c>
      <c r="E260" s="135">
        <v>36.73</v>
      </c>
      <c r="F260" s="190">
        <f t="shared" si="11"/>
        <v>809.8965</v>
      </c>
      <c r="G260" s="229">
        <v>92434</v>
      </c>
    </row>
    <row r="261" spans="1:7" ht="12.75">
      <c r="A261" s="186" t="s">
        <v>27</v>
      </c>
      <c r="B261" s="187" t="s">
        <v>178</v>
      </c>
      <c r="C261" s="188">
        <v>22.5</v>
      </c>
      <c r="D261" s="189" t="s">
        <v>44</v>
      </c>
      <c r="E261" s="135">
        <v>16.03</v>
      </c>
      <c r="F261" s="190">
        <f t="shared" si="11"/>
        <v>360.675</v>
      </c>
      <c r="G261" s="226" t="s">
        <v>209</v>
      </c>
    </row>
    <row r="262" spans="1:7" ht="12.75">
      <c r="A262" s="186" t="s">
        <v>28</v>
      </c>
      <c r="B262" s="187" t="s">
        <v>232</v>
      </c>
      <c r="C262" s="188">
        <v>15.7</v>
      </c>
      <c r="D262" s="189" t="s">
        <v>44</v>
      </c>
      <c r="E262" s="135">
        <v>16.03</v>
      </c>
      <c r="F262" s="190">
        <f t="shared" si="11"/>
        <v>251.671</v>
      </c>
      <c r="G262" s="226" t="s">
        <v>119</v>
      </c>
    </row>
    <row r="263" spans="1:7" ht="12.75">
      <c r="A263" s="186" t="s">
        <v>148</v>
      </c>
      <c r="B263" s="187" t="s">
        <v>233</v>
      </c>
      <c r="C263" s="188">
        <v>2.5</v>
      </c>
      <c r="D263" s="189" t="s">
        <v>44</v>
      </c>
      <c r="E263" s="135">
        <v>18.99</v>
      </c>
      <c r="F263" s="190">
        <f t="shared" si="11"/>
        <v>47.474999999999994</v>
      </c>
      <c r="G263" s="226" t="s">
        <v>210</v>
      </c>
    </row>
    <row r="264" spans="1:7" ht="12.75">
      <c r="A264" s="186" t="s">
        <v>149</v>
      </c>
      <c r="B264" s="187" t="s">
        <v>183</v>
      </c>
      <c r="C264" s="188">
        <v>4.5</v>
      </c>
      <c r="D264" s="189" t="s">
        <v>44</v>
      </c>
      <c r="E264" s="135">
        <v>16.13</v>
      </c>
      <c r="F264" s="190">
        <f t="shared" si="11"/>
        <v>72.585</v>
      </c>
      <c r="G264" s="226" t="s">
        <v>120</v>
      </c>
    </row>
    <row r="265" spans="1:7" ht="12.75">
      <c r="A265" s="186" t="s">
        <v>150</v>
      </c>
      <c r="B265" s="187" t="s">
        <v>180</v>
      </c>
      <c r="C265" s="188">
        <v>20</v>
      </c>
      <c r="D265" s="189" t="s">
        <v>44</v>
      </c>
      <c r="E265" s="135">
        <v>13.17</v>
      </c>
      <c r="F265" s="190">
        <f t="shared" si="11"/>
        <v>263.4</v>
      </c>
      <c r="G265" s="226" t="s">
        <v>121</v>
      </c>
    </row>
    <row r="266" spans="1:7" ht="13.5" thickBot="1">
      <c r="A266" s="191" t="s">
        <v>227</v>
      </c>
      <c r="B266" s="192" t="s">
        <v>271</v>
      </c>
      <c r="C266" s="193">
        <v>1</v>
      </c>
      <c r="D266" s="194" t="s">
        <v>278</v>
      </c>
      <c r="E266" s="139">
        <v>467.39</v>
      </c>
      <c r="F266" s="190">
        <f t="shared" si="11"/>
        <v>467.39</v>
      </c>
      <c r="G266" s="226" t="s">
        <v>272</v>
      </c>
    </row>
    <row r="267" spans="1:6" ht="13.5" thickBot="1">
      <c r="A267" s="308" t="s">
        <v>174</v>
      </c>
      <c r="B267" s="309"/>
      <c r="C267" s="309"/>
      <c r="D267" s="309"/>
      <c r="E267" s="310"/>
      <c r="F267" s="195">
        <f>SUM(F257:F266)</f>
        <v>2667.3664</v>
      </c>
    </row>
    <row r="268" spans="1:6" ht="12.75">
      <c r="A268" s="196"/>
      <c r="B268" s="196"/>
      <c r="C268" s="196"/>
      <c r="D268" s="196"/>
      <c r="E268" s="196"/>
      <c r="F268" s="197"/>
    </row>
    <row r="269" spans="1:6" ht="12.75">
      <c r="A269" s="196"/>
      <c r="B269" s="196"/>
      <c r="C269" s="196"/>
      <c r="D269" s="196"/>
      <c r="E269" s="196"/>
      <c r="F269" s="197"/>
    </row>
    <row r="270" spans="1:6" ht="12.75">
      <c r="A270" s="196"/>
      <c r="B270" s="196"/>
      <c r="C270" s="196"/>
      <c r="D270" s="196"/>
      <c r="E270" s="196"/>
      <c r="F270" s="197"/>
    </row>
    <row r="271" spans="1:6" ht="12.75">
      <c r="A271" s="196"/>
      <c r="B271" s="196"/>
      <c r="C271" s="196"/>
      <c r="D271" s="196"/>
      <c r="E271" s="31" t="s">
        <v>305</v>
      </c>
      <c r="F271" s="197"/>
    </row>
    <row r="272" spans="1:6" ht="12.75">
      <c r="A272" s="196"/>
      <c r="B272" s="196"/>
      <c r="C272" s="196"/>
      <c r="D272" s="196"/>
      <c r="E272" s="196"/>
      <c r="F272" s="197"/>
    </row>
    <row r="273" ht="12.75">
      <c r="B273" s="151"/>
    </row>
    <row r="274" ht="12.75">
      <c r="B274" s="151"/>
    </row>
    <row r="275" spans="2:6" ht="15">
      <c r="B275" s="201" t="s">
        <v>306</v>
      </c>
      <c r="C275" s="121"/>
      <c r="F275" s="201" t="s">
        <v>312</v>
      </c>
    </row>
    <row r="276" spans="2:6" ht="15">
      <c r="B276" s="201" t="s">
        <v>308</v>
      </c>
      <c r="C276" s="121"/>
      <c r="F276" s="201" t="s">
        <v>310</v>
      </c>
    </row>
    <row r="277" ht="12.75">
      <c r="B277" s="20" t="s">
        <v>309</v>
      </c>
    </row>
    <row r="278" ht="12.75">
      <c r="B278" s="30" t="s">
        <v>267</v>
      </c>
    </row>
  </sheetData>
  <sheetProtection/>
  <mergeCells count="85">
    <mergeCell ref="A254:D254"/>
    <mergeCell ref="E254:F254"/>
    <mergeCell ref="G254:G255"/>
    <mergeCell ref="B256:F256"/>
    <mergeCell ref="A267:E267"/>
    <mergeCell ref="A238:D238"/>
    <mergeCell ref="E238:F238"/>
    <mergeCell ref="G238:G239"/>
    <mergeCell ref="B240:F240"/>
    <mergeCell ref="A251:E251"/>
    <mergeCell ref="G113:G114"/>
    <mergeCell ref="A132:E132"/>
    <mergeCell ref="B115:F115"/>
    <mergeCell ref="A121:E121"/>
    <mergeCell ref="A124:D124"/>
    <mergeCell ref="E124:F124"/>
    <mergeCell ref="G124:G125"/>
    <mergeCell ref="B126:F126"/>
    <mergeCell ref="B101:F101"/>
    <mergeCell ref="A110:E110"/>
    <mergeCell ref="B95:E95"/>
    <mergeCell ref="B94:E94"/>
    <mergeCell ref="B93:E93"/>
    <mergeCell ref="A113:D113"/>
    <mergeCell ref="E113:F113"/>
    <mergeCell ref="A20:D20"/>
    <mergeCell ref="E20:F20"/>
    <mergeCell ref="G20:G21"/>
    <mergeCell ref="A36:E36"/>
    <mergeCell ref="A3:D3"/>
    <mergeCell ref="G3:G4"/>
    <mergeCell ref="E3:F3"/>
    <mergeCell ref="A15:E15"/>
    <mergeCell ref="A19:G19"/>
    <mergeCell ref="G39:G40"/>
    <mergeCell ref="E39:F39"/>
    <mergeCell ref="B41:F41"/>
    <mergeCell ref="A49:E49"/>
    <mergeCell ref="G86:G87"/>
    <mergeCell ref="A39:D39"/>
    <mergeCell ref="B54:F54"/>
    <mergeCell ref="G52:G53"/>
    <mergeCell ref="E86:F86"/>
    <mergeCell ref="A61:E61"/>
    <mergeCell ref="G99:G100"/>
    <mergeCell ref="A52:D52"/>
    <mergeCell ref="E52:F52"/>
    <mergeCell ref="A64:D64"/>
    <mergeCell ref="E64:F64"/>
    <mergeCell ref="G64:G65"/>
    <mergeCell ref="A77:E77"/>
    <mergeCell ref="B173:F173"/>
    <mergeCell ref="A86:D86"/>
    <mergeCell ref="A136:D136"/>
    <mergeCell ref="E136:F136"/>
    <mergeCell ref="G136:G137"/>
    <mergeCell ref="B138:F138"/>
    <mergeCell ref="A150:E150"/>
    <mergeCell ref="A91:E91"/>
    <mergeCell ref="A99:D99"/>
    <mergeCell ref="E99:F99"/>
    <mergeCell ref="A154:D154"/>
    <mergeCell ref="E154:F154"/>
    <mergeCell ref="G154:G155"/>
    <mergeCell ref="B156:F156"/>
    <mergeCell ref="A168:E168"/>
    <mergeCell ref="A171:D171"/>
    <mergeCell ref="E171:F171"/>
    <mergeCell ref="G171:G172"/>
    <mergeCell ref="A185:E185"/>
    <mergeCell ref="A188:D188"/>
    <mergeCell ref="E188:F188"/>
    <mergeCell ref="G188:G189"/>
    <mergeCell ref="B190:F190"/>
    <mergeCell ref="B223:F223"/>
    <mergeCell ref="A202:E202"/>
    <mergeCell ref="A234:E234"/>
    <mergeCell ref="A205:D205"/>
    <mergeCell ref="E205:F205"/>
    <mergeCell ref="G205:G206"/>
    <mergeCell ref="B207:F207"/>
    <mergeCell ref="A218:E218"/>
    <mergeCell ref="A221:D221"/>
    <mergeCell ref="E221:F221"/>
    <mergeCell ref="G221:G222"/>
  </mergeCells>
  <conditionalFormatting sqref="A84 C84:E84 C78:D83 A51:D51 A62:D63">
    <cfRule type="expression" priority="135" dxfId="28" stopIfTrue="1">
      <formula>AND($A51&lt;&gt;"COMPOSICAO",$A51&lt;&gt;"INSUMO",$A51&lt;&gt;"")</formula>
    </cfRule>
    <cfRule type="expression" priority="136" dxfId="29" stopIfTrue="1">
      <formula>AND(OR($A51="COMPOSICAO",$A51="INSUMO",$A51&lt;&gt;""),$A51&lt;&gt;"")</formula>
    </cfRule>
  </conditionalFormatting>
  <conditionalFormatting sqref="A78:A83">
    <cfRule type="expression" priority="101" dxfId="28" stopIfTrue="1">
      <formula>AND($A78&lt;&gt;"COMPOSICAO",$A78&lt;&gt;"INSUMO",$A78&lt;&gt;"")</formula>
    </cfRule>
    <cfRule type="expression" priority="102" dxfId="29" stopIfTrue="1">
      <formula>AND(OR($A78="COMPOSICAO",$A78="INSUMO",$A78&lt;&gt;""),$A78&lt;&gt;"")</formula>
    </cfRule>
  </conditionalFormatting>
  <conditionalFormatting sqref="A14 C14:D14">
    <cfRule type="expression" priority="59" dxfId="28" stopIfTrue="1">
      <formula>AND($A14&lt;&gt;"COMPOSICAO",$A14&lt;&gt;"INSUMO",$A14&lt;&gt;"")</formula>
    </cfRule>
    <cfRule type="expression" priority="60" dxfId="29" stopIfTrue="1">
      <formula>AND(OR($A14="COMPOSICAO",$A14="INSUMO",$A14&lt;&gt;""),$A14&lt;&gt;"")</formula>
    </cfRule>
  </conditionalFormatting>
  <conditionalFormatting sqref="B6:B7 B34">
    <cfRule type="expression" priority="57" dxfId="20" stopIfTrue="1">
      <formula>Composições!#REF!=1</formula>
    </cfRule>
  </conditionalFormatting>
  <conditionalFormatting sqref="B6:B7 B34">
    <cfRule type="expression" priority="58" dxfId="20" stopIfTrue="1">
      <formula>Composições!#REF!=1</formula>
    </cfRule>
  </conditionalFormatting>
  <conditionalFormatting sqref="A30">
    <cfRule type="expression" priority="50" dxfId="28" stopIfTrue="1">
      <formula>AND($A30&lt;&gt;"COMPOSICAO",$A30&lt;&gt;"INSUMO",$A30&lt;&gt;"")</formula>
    </cfRule>
    <cfRule type="expression" priority="51" dxfId="29" stopIfTrue="1">
      <formula>AND(OR($A30="COMPOSICAO",$A30="INSUMO",$A30&lt;&gt;""),$A30&lt;&gt;"")</formula>
    </cfRule>
  </conditionalFormatting>
  <conditionalFormatting sqref="C30:D30">
    <cfRule type="expression" priority="52" dxfId="28" stopIfTrue="1">
      <formula>AND($A30&lt;&gt;"COMPOSICAO",$A30&lt;&gt;"INSUMO",$A30&lt;&gt;"")</formula>
    </cfRule>
    <cfRule type="expression" priority="53" dxfId="29" stopIfTrue="1">
      <formula>AND(OR($A30="COMPOSICAO",$A30="INSUMO",$A30&lt;&gt;""),$A30&lt;&gt;"")</formula>
    </cfRule>
  </conditionalFormatting>
  <conditionalFormatting sqref="A35">
    <cfRule type="expression" priority="46" dxfId="28" stopIfTrue="1">
      <formula>AND($A35&lt;&gt;"COMPOSICAO",$A35&lt;&gt;"INSUMO",$A35&lt;&gt;"")</formula>
    </cfRule>
    <cfRule type="expression" priority="47" dxfId="29" stopIfTrue="1">
      <formula>AND(OR($A35="COMPOSICAO",$A35="INSUMO",$A35&lt;&gt;""),$A35&lt;&gt;"")</formula>
    </cfRule>
  </conditionalFormatting>
  <conditionalFormatting sqref="C35:D35">
    <cfRule type="expression" priority="48" dxfId="28" stopIfTrue="1">
      <formula>AND($A35&lt;&gt;"COMPOSICAO",$A35&lt;&gt;"INSUMO",$A35&lt;&gt;"")</formula>
    </cfRule>
    <cfRule type="expression" priority="49" dxfId="29" stopIfTrue="1">
      <formula>AND(OR($A35="COMPOSICAO",$A35="INSUMO",$A35&lt;&gt;""),$A35&lt;&gt;"")</formula>
    </cfRule>
  </conditionalFormatting>
  <conditionalFormatting sqref="C76:D76">
    <cfRule type="expression" priority="43" dxfId="28" stopIfTrue="1">
      <formula>AND($A76&lt;&gt;"COMPOSICAO",$A76&lt;&gt;"INSUMO",$A76&lt;&gt;"")</formula>
    </cfRule>
    <cfRule type="expression" priority="44" dxfId="29" stopIfTrue="1">
      <formula>AND(OR($A76="COMPOSICAO",$A76="INSUMO",$A76&lt;&gt;""),$A76&lt;&gt;"")</formula>
    </cfRule>
  </conditionalFormatting>
  <conditionalFormatting sqref="A76">
    <cfRule type="expression" priority="41" dxfId="28" stopIfTrue="1">
      <formula>AND($A76&lt;&gt;"COMPOSICAO",$A76&lt;&gt;"INSUMO",$A76&lt;&gt;"")</formula>
    </cfRule>
    <cfRule type="expression" priority="42" dxfId="29" stopIfTrue="1">
      <formula>AND(OR($A76="COMPOSICAO",$A76="INSUMO",$A76&lt;&gt;""),$A76&lt;&gt;"")</formula>
    </cfRule>
  </conditionalFormatting>
  <conditionalFormatting sqref="B224:B233 B241:B250 B257:B266 B116:B120 B127:B131 B139:B149 B157:B167 B174:B184 B191:B201 B208:B217 B102:B109">
    <cfRule type="expression" priority="39" dxfId="28" stopIfTrue="1">
      <formula>AND(Composições!#REF!&lt;&gt;"COMPOSICAO",Composições!#REF!&lt;&gt;"INSUMO",Composições!#REF!&lt;&gt;"")</formula>
    </cfRule>
    <cfRule type="expression" priority="40" dxfId="29" stopIfTrue="1">
      <formula>AND(OR(Composições!#REF!="COMPOSICAO",Composições!#REF!="INSUMO",Composições!#REF!&lt;&gt;""),Composições!#REF!&lt;&gt;"")</formula>
    </cfRule>
  </conditionalFormatting>
  <printOptions horizontalCentered="1" verticalCentered="1"/>
  <pageMargins left="0.5118110236220472" right="0.5118110236220472" top="0.7874015748031497" bottom="0.3937007874015748" header="0.31496062992125984" footer="0.31496062992125984"/>
  <pageSetup horizontalDpi="600" verticalDpi="600" orientation="portrait" paperSize="9" scale="69" r:id="rId1"/>
  <headerFooter>
    <oddHeader>&amp;L&amp;"Arial,Negrito"&amp;UESTADO DO RIO GRANDE DO SUL
MUNICÍPIO DE TENENTE PORTELA&amp;R&amp;"Arial,Negrito"&amp;UPROCESSO LICITATÓRIO  Nr. 112/2017
Modalidade -  RDC - Nr. 01/2017</oddHeader>
  </headerFooter>
  <rowBreaks count="4" manualBreakCount="4">
    <brk id="84" max="6" man="1"/>
    <brk id="135" max="6" man="1"/>
    <brk id="187" max="6" man="1"/>
    <brk id="237" max="6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Layout" zoomScaleSheetLayoutView="130" workbookViewId="0" topLeftCell="A4">
      <selection activeCell="C28" sqref="C28"/>
    </sheetView>
  </sheetViews>
  <sheetFormatPr defaultColWidth="9.140625" defaultRowHeight="12.75"/>
  <cols>
    <col min="1" max="1" width="7.28125" style="0" customWidth="1"/>
    <col min="2" max="2" width="28.00390625" style="0" customWidth="1"/>
    <col min="3" max="3" width="16.28125" style="0" customWidth="1"/>
    <col min="4" max="4" width="9.8515625" style="0" bestFit="1" customWidth="1"/>
    <col min="5" max="5" width="21.140625" style="0" bestFit="1" customWidth="1"/>
    <col min="6" max="6" width="10.421875" style="0" bestFit="1" customWidth="1"/>
    <col min="7" max="7" width="21.140625" style="0" bestFit="1" customWidth="1"/>
    <col min="8" max="8" width="10.421875" style="0" bestFit="1" customWidth="1"/>
    <col min="9" max="9" width="20.57421875" style="0" bestFit="1" customWidth="1"/>
    <col min="10" max="10" width="11.28125" style="0" bestFit="1" customWidth="1"/>
  </cols>
  <sheetData>
    <row r="1" spans="1:10" ht="13.5">
      <c r="A1" s="236"/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3.5">
      <c r="A2" s="242" t="str">
        <f>Orçamento!A1</f>
        <v>Obra: Ponte em concreto armado de 12,00m de vão total x 8,00m de largura e 7,00m de altura total.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0" ht="13.5">
      <c r="A3" s="242" t="str">
        <f>Orçamento!A2</f>
        <v>Local: Ponte em concreto armado sobre o Rio Lajeado Cedro divisa com Derrubadas - Tenente Portela / RS.  </v>
      </c>
      <c r="B3" s="243"/>
      <c r="C3" s="243"/>
      <c r="D3" s="243"/>
      <c r="E3" s="243"/>
      <c r="F3" s="243"/>
      <c r="G3" s="243"/>
      <c r="H3" s="243"/>
      <c r="I3" s="243"/>
      <c r="J3" s="244"/>
    </row>
    <row r="4" spans="1:10" ht="14.25" thickBot="1">
      <c r="A4" s="245" t="str">
        <f>Orçamento!A3</f>
        <v>Nome da obra: Ponte Rio Lajeado Cedro -  Área: 96,00m²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14.25" thickBot="1">
      <c r="A5" s="311" t="s">
        <v>47</v>
      </c>
      <c r="B5" s="312"/>
      <c r="C5" s="312"/>
      <c r="D5" s="312"/>
      <c r="E5" s="312"/>
      <c r="F5" s="312"/>
      <c r="G5" s="312"/>
      <c r="H5" s="312"/>
      <c r="I5" s="312"/>
      <c r="J5" s="313"/>
    </row>
    <row r="6" spans="1:10" ht="14.25" thickBot="1">
      <c r="A6" s="6" t="s">
        <v>0</v>
      </c>
      <c r="B6" s="7" t="s">
        <v>24</v>
      </c>
      <c r="C6" s="8" t="s">
        <v>246</v>
      </c>
      <c r="D6" s="9" t="s">
        <v>17</v>
      </c>
      <c r="E6" s="8" t="s">
        <v>247</v>
      </c>
      <c r="F6" s="9" t="s">
        <v>17</v>
      </c>
      <c r="G6" s="8" t="s">
        <v>248</v>
      </c>
      <c r="H6" s="9" t="s">
        <v>17</v>
      </c>
      <c r="I6" s="8" t="s">
        <v>4</v>
      </c>
      <c r="J6" s="10" t="s">
        <v>17</v>
      </c>
    </row>
    <row r="7" spans="1:12" ht="13.5">
      <c r="A7" s="1" t="s">
        <v>18</v>
      </c>
      <c r="B7" s="2" t="str">
        <f>Orçamento!B7</f>
        <v>SERVIÇOS INICIAIS</v>
      </c>
      <c r="C7" s="14">
        <f>I7*D7</f>
        <v>49163.96000000001</v>
      </c>
      <c r="D7" s="453">
        <v>1</v>
      </c>
      <c r="E7" s="14">
        <f>I7*F7</f>
        <v>0</v>
      </c>
      <c r="F7" s="453">
        <v>0</v>
      </c>
      <c r="G7" s="12">
        <f>H7*I7</f>
        <v>0</v>
      </c>
      <c r="H7" s="453">
        <v>0</v>
      </c>
      <c r="I7" s="13">
        <f>Orçamento!K14</f>
        <v>49163.96000000001</v>
      </c>
      <c r="J7" s="457">
        <f>I7/I13</f>
        <v>0.10878322837570914</v>
      </c>
      <c r="L7" s="19"/>
    </row>
    <row r="8" spans="1:12" ht="13.5">
      <c r="A8" s="1" t="s">
        <v>19</v>
      </c>
      <c r="B8" s="3" t="str">
        <f>Orçamento!B15</f>
        <v>MOVIMENTO DE TERRA</v>
      </c>
      <c r="C8" s="14">
        <f>I8*D8</f>
        <v>22960.224000000002</v>
      </c>
      <c r="D8" s="453">
        <v>0.9</v>
      </c>
      <c r="E8" s="14">
        <f>I8*F8</f>
        <v>0</v>
      </c>
      <c r="F8" s="453">
        <v>0</v>
      </c>
      <c r="G8" s="12">
        <f>H8*I8</f>
        <v>2551.1360000000004</v>
      </c>
      <c r="H8" s="453">
        <v>0.1</v>
      </c>
      <c r="I8" s="13">
        <f>Orçamento!K21</f>
        <v>25511.36</v>
      </c>
      <c r="J8" s="457">
        <f>I8/I13</f>
        <v>0.056448018041161264</v>
      </c>
      <c r="L8" s="19"/>
    </row>
    <row r="9" spans="1:12" ht="13.5">
      <c r="A9" s="1" t="s">
        <v>20</v>
      </c>
      <c r="B9" s="3" t="str">
        <f>Orçamento!B22</f>
        <v>INFRAESTRUTURA</v>
      </c>
      <c r="C9" s="14">
        <f>I9*D9</f>
        <v>42175.826</v>
      </c>
      <c r="D9" s="453">
        <v>0.35</v>
      </c>
      <c r="E9" s="14">
        <f>I9*F9</f>
        <v>78326.534</v>
      </c>
      <c r="F9" s="453">
        <v>0.65</v>
      </c>
      <c r="G9" s="12">
        <f>H9*I9</f>
        <v>0</v>
      </c>
      <c r="H9" s="453">
        <v>0</v>
      </c>
      <c r="I9" s="13">
        <f>Orçamento!K29</f>
        <v>120502.36</v>
      </c>
      <c r="J9" s="457">
        <f>I9/I13</f>
        <v>0.26663099855446787</v>
      </c>
      <c r="L9" s="19"/>
    </row>
    <row r="10" spans="1:12" ht="13.5">
      <c r="A10" s="1" t="s">
        <v>51</v>
      </c>
      <c r="B10" s="3" t="str">
        <f>Orçamento!B30</f>
        <v>MESOESTRUTURA</v>
      </c>
      <c r="C10" s="14">
        <f>I10*D10</f>
        <v>0</v>
      </c>
      <c r="D10" s="453">
        <v>0</v>
      </c>
      <c r="E10" s="14">
        <f>I10*F10</f>
        <v>69895.29000000001</v>
      </c>
      <c r="F10" s="453">
        <v>0.5</v>
      </c>
      <c r="G10" s="12">
        <f>H10*I10</f>
        <v>69895.29000000001</v>
      </c>
      <c r="H10" s="453">
        <v>0.5</v>
      </c>
      <c r="I10" s="13">
        <f>Orçamento!K33</f>
        <v>139790.58000000002</v>
      </c>
      <c r="J10" s="457">
        <f>I10/I13</f>
        <v>0.3093093109040207</v>
      </c>
      <c r="L10" s="19"/>
    </row>
    <row r="11" spans="1:12" ht="14.25" thickBot="1">
      <c r="A11" s="1" t="s">
        <v>53</v>
      </c>
      <c r="B11" s="3" t="str">
        <f>Orçamento!B34</f>
        <v>SUPERESTRUTURA</v>
      </c>
      <c r="C11" s="14">
        <f>I11*D11</f>
        <v>0</v>
      </c>
      <c r="D11" s="453">
        <v>0</v>
      </c>
      <c r="E11" s="14">
        <f>I11*F11</f>
        <v>35092.812000000005</v>
      </c>
      <c r="F11" s="453">
        <v>0.3</v>
      </c>
      <c r="G11" s="12">
        <f>H11*I11</f>
        <v>81883.22800000002</v>
      </c>
      <c r="H11" s="453">
        <v>0.7</v>
      </c>
      <c r="I11" s="13">
        <f>Orçamento!K51</f>
        <v>116976.04000000002</v>
      </c>
      <c r="J11" s="457">
        <f>I11/I13</f>
        <v>0.25882844412464107</v>
      </c>
      <c r="L11" s="19"/>
    </row>
    <row r="12" spans="1:10" ht="14.25" thickBot="1">
      <c r="A12" s="16"/>
      <c r="B12" s="17" t="s">
        <v>21</v>
      </c>
      <c r="C12" s="18">
        <f>SUM(C7:C11)</f>
        <v>114300.01000000001</v>
      </c>
      <c r="D12" s="454">
        <f>C12/I13</f>
        <v>0.252907294106818</v>
      </c>
      <c r="E12" s="18">
        <f>SUM(E7:E11)</f>
        <v>183314.63600000003</v>
      </c>
      <c r="F12" s="454">
        <f>E12/I13</f>
        <v>0.4056133377498068</v>
      </c>
      <c r="G12" s="18">
        <f>SUM(G7:G11)</f>
        <v>154329.65400000004</v>
      </c>
      <c r="H12" s="454">
        <f>G12/I13</f>
        <v>0.34147936814337526</v>
      </c>
      <c r="I12" s="451">
        <f>SUM(I7:I11)</f>
        <v>451944.30000000005</v>
      </c>
      <c r="J12" s="458">
        <f>SUM(J7:J11)</f>
        <v>1</v>
      </c>
    </row>
    <row r="13" spans="1:10" ht="14.25" thickBot="1">
      <c r="A13" s="4"/>
      <c r="B13" s="5" t="s">
        <v>9</v>
      </c>
      <c r="C13" s="11">
        <f>C12</f>
        <v>114300.01000000001</v>
      </c>
      <c r="D13" s="455">
        <f>D12</f>
        <v>0.252907294106818</v>
      </c>
      <c r="E13" s="11">
        <f>C13+E12</f>
        <v>297614.64600000007</v>
      </c>
      <c r="F13" s="455">
        <f>D13+F12</f>
        <v>0.6585206318566248</v>
      </c>
      <c r="G13" s="11">
        <f>E13+G12</f>
        <v>451944.3000000001</v>
      </c>
      <c r="H13" s="456">
        <f>F13+H12</f>
        <v>1</v>
      </c>
      <c r="I13" s="452">
        <f>Orçamento!K52</f>
        <v>451944.30000000005</v>
      </c>
      <c r="J13" s="459">
        <v>1</v>
      </c>
    </row>
    <row r="15" spans="9:10" ht="12.75">
      <c r="I15" s="314" t="s">
        <v>305</v>
      </c>
      <c r="J15" s="314"/>
    </row>
    <row r="17" spans="2:3" ht="15">
      <c r="B17" s="207"/>
      <c r="C17" s="129"/>
    </row>
    <row r="18" spans="2:3" ht="15">
      <c r="B18" s="208"/>
      <c r="C18" s="121"/>
    </row>
    <row r="19" spans="2:7" ht="15">
      <c r="B19" s="201" t="s">
        <v>306</v>
      </c>
      <c r="C19" s="121"/>
      <c r="G19" s="201" t="s">
        <v>312</v>
      </c>
    </row>
    <row r="20" spans="2:7" ht="15">
      <c r="B20" s="201" t="s">
        <v>308</v>
      </c>
      <c r="C20" s="121"/>
      <c r="G20" s="201" t="s">
        <v>310</v>
      </c>
    </row>
    <row r="21" ht="12.75">
      <c r="B21" s="20" t="s">
        <v>309</v>
      </c>
    </row>
    <row r="23" ht="13.5" thickBot="1"/>
    <row r="24" spans="1:10" ht="45.75" customHeight="1" thickBot="1">
      <c r="A24" s="460" t="s">
        <v>327</v>
      </c>
      <c r="B24" s="461"/>
      <c r="C24" s="461"/>
      <c r="D24" s="461"/>
      <c r="E24" s="461"/>
      <c r="F24" s="461"/>
      <c r="G24" s="461"/>
      <c r="H24" s="461"/>
      <c r="I24" s="461"/>
      <c r="J24" s="462"/>
    </row>
  </sheetData>
  <sheetProtection/>
  <mergeCells count="7">
    <mergeCell ref="A24:J24"/>
    <mergeCell ref="A1:J1"/>
    <mergeCell ref="A2:J2"/>
    <mergeCell ref="A3:J3"/>
    <mergeCell ref="A4:J4"/>
    <mergeCell ref="A5:J5"/>
    <mergeCell ref="I15:J15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85" r:id="rId1"/>
  <headerFooter>
    <oddHeader>&amp;L&amp;"Arial,Negrito"&amp;UESTADO DO RIO GRANDE DO SUL
MUNICÍPIO DE TENENTE PORTELA&amp;C&amp;"Arial,Negrito"&amp;12&amp;U&gt; CRONOGRAMA FISICO FINANCEIRO &gt;
Para  Desembolso&amp;R&amp;"Arial,Negrito"&amp;UPROCESSO LICITATÓRIO Nr.  112/2017
Modalidade -  RDC - Nr. 01/2017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Layout" workbookViewId="0" topLeftCell="H21">
      <selection activeCell="L29" sqref="L29"/>
    </sheetView>
  </sheetViews>
  <sheetFormatPr defaultColWidth="9.140625" defaultRowHeight="12.75"/>
  <cols>
    <col min="1" max="1" width="11.140625" style="22" hidden="1" customWidth="1"/>
    <col min="2" max="2" width="14.7109375" style="22" hidden="1" customWidth="1"/>
    <col min="3" max="3" width="10.8515625" style="22" hidden="1" customWidth="1"/>
    <col min="4" max="4" width="7.421875" style="22" hidden="1" customWidth="1"/>
    <col min="5" max="5" width="15.421875" style="22" hidden="1" customWidth="1"/>
    <col min="6" max="6" width="21.57421875" style="22" hidden="1" customWidth="1"/>
    <col min="7" max="7" width="15.7109375" style="22" hidden="1" customWidth="1"/>
    <col min="8" max="10" width="9.140625" style="22" customWidth="1"/>
    <col min="11" max="11" width="12.57421875" style="22" customWidth="1"/>
    <col min="12" max="12" width="13.57421875" style="22" customWidth="1"/>
    <col min="13" max="13" width="10.421875" style="22" bestFit="1" customWidth="1"/>
    <col min="14" max="14" width="10.8515625" style="22" customWidth="1"/>
    <col min="15" max="15" width="10.28125" style="22" bestFit="1" customWidth="1"/>
    <col min="16" max="16" width="9.28125" style="22" bestFit="1" customWidth="1"/>
    <col min="17" max="17" width="10.28125" style="22" bestFit="1" customWidth="1"/>
    <col min="18" max="16384" width="9.140625" style="22" customWidth="1"/>
  </cols>
  <sheetData>
    <row r="1" spans="5:17" ht="13.5">
      <c r="E1" s="41" t="s">
        <v>131</v>
      </c>
      <c r="F1" s="41" t="s">
        <v>132</v>
      </c>
      <c r="G1" s="41" t="s">
        <v>133</v>
      </c>
      <c r="H1" s="333" t="e">
        <f>Orçamento!#REF!</f>
        <v>#REF!</v>
      </c>
      <c r="I1" s="334"/>
      <c r="J1" s="334"/>
      <c r="K1" s="334"/>
      <c r="L1" s="334"/>
      <c r="M1" s="334"/>
      <c r="N1" s="334"/>
      <c r="O1" s="334"/>
      <c r="P1" s="334"/>
      <c r="Q1" s="335"/>
    </row>
    <row r="2" spans="1:17" ht="13.5">
      <c r="A2" s="22" t="s">
        <v>134</v>
      </c>
      <c r="B2" s="42" t="s">
        <v>135</v>
      </c>
      <c r="C2" s="22" t="str">
        <f aca="true" t="shared" si="0" ref="C2:C15">CONCATENATE(A2,"-",B2)</f>
        <v>Construção e Reforma de Edifícios-AC</v>
      </c>
      <c r="E2" s="43">
        <v>0.03</v>
      </c>
      <c r="F2" s="43">
        <v>0.04</v>
      </c>
      <c r="G2" s="49">
        <v>0.055</v>
      </c>
      <c r="H2" s="336" t="str">
        <f>Orçamento!A1</f>
        <v>Obra: Ponte em concreto armado de 12,00m de vão total x 8,00m de largura e 7,00m de altura total.</v>
      </c>
      <c r="I2" s="337"/>
      <c r="J2" s="337"/>
      <c r="K2" s="337"/>
      <c r="L2" s="337"/>
      <c r="M2" s="337"/>
      <c r="N2" s="337"/>
      <c r="O2" s="337"/>
      <c r="P2" s="337"/>
      <c r="Q2" s="338"/>
    </row>
    <row r="3" spans="1:17" ht="13.5">
      <c r="A3" s="22" t="str">
        <f>A2</f>
        <v>Construção e Reforma de Edifícios</v>
      </c>
      <c r="B3" s="42" t="s">
        <v>136</v>
      </c>
      <c r="C3" s="22" t="str">
        <f t="shared" si="0"/>
        <v>Construção e Reforma de Edifícios-SG</v>
      </c>
      <c r="E3" s="43">
        <v>0.008</v>
      </c>
      <c r="F3" s="43">
        <v>0.008</v>
      </c>
      <c r="G3" s="49">
        <v>0.01</v>
      </c>
      <c r="H3" s="339" t="str">
        <f>Orçamento!A2</f>
        <v>Local: Ponte em concreto armado sobre o Rio Lajeado Cedro divisa com Derrubadas - Tenente Portela / RS.  </v>
      </c>
      <c r="I3" s="340"/>
      <c r="J3" s="340"/>
      <c r="K3" s="340"/>
      <c r="L3" s="340"/>
      <c r="M3" s="340"/>
      <c r="N3" s="340"/>
      <c r="O3" s="340"/>
      <c r="P3" s="340"/>
      <c r="Q3" s="341"/>
    </row>
    <row r="4" spans="1:17" ht="14.25" thickBot="1">
      <c r="A4" s="22" t="str">
        <f>A3</f>
        <v>Construção e Reforma de Edifícios</v>
      </c>
      <c r="B4" s="42" t="s">
        <v>137</v>
      </c>
      <c r="C4" s="22" t="str">
        <f t="shared" si="0"/>
        <v>Construção e Reforma de Edifícios-R</v>
      </c>
      <c r="E4" s="43">
        <v>0.0097</v>
      </c>
      <c r="F4" s="43">
        <v>0.0127</v>
      </c>
      <c r="G4" s="49">
        <v>0.0127</v>
      </c>
      <c r="H4" s="342" t="str">
        <f>Orçamento!A3</f>
        <v>Nome da obra: Ponte Rio Lajeado Cedro -  Área: 96,00m²</v>
      </c>
      <c r="I4" s="343"/>
      <c r="J4" s="343"/>
      <c r="K4" s="343"/>
      <c r="L4" s="343"/>
      <c r="M4" s="343"/>
      <c r="N4" s="343"/>
      <c r="O4" s="343"/>
      <c r="P4" s="343"/>
      <c r="Q4" s="344"/>
    </row>
    <row r="5" spans="1:18" ht="15" customHeight="1" thickBot="1">
      <c r="A5" s="22" t="str">
        <f>A4</f>
        <v>Construção e Reforma de Edifícios</v>
      </c>
      <c r="B5" s="42" t="s">
        <v>138</v>
      </c>
      <c r="C5" s="22" t="str">
        <f t="shared" si="0"/>
        <v>Construção e Reforma de Edifícios-DF</v>
      </c>
      <c r="E5" s="43">
        <v>0.0059</v>
      </c>
      <c r="F5" s="43">
        <v>0.0123</v>
      </c>
      <c r="G5" s="43">
        <v>0.0139</v>
      </c>
      <c r="H5" s="345" t="s">
        <v>46</v>
      </c>
      <c r="I5" s="346"/>
      <c r="J5" s="346"/>
      <c r="K5" s="346"/>
      <c r="L5" s="346"/>
      <c r="M5" s="346"/>
      <c r="N5" s="346"/>
      <c r="O5" s="346"/>
      <c r="P5" s="346"/>
      <c r="Q5" s="302"/>
      <c r="R5" s="44"/>
    </row>
    <row r="6" spans="1:17" ht="13.5" customHeight="1">
      <c r="A6" s="22" t="str">
        <f>A5</f>
        <v>Construção e Reforma de Edifícios</v>
      </c>
      <c r="B6" s="42" t="s">
        <v>139</v>
      </c>
      <c r="C6" s="22" t="str">
        <f t="shared" si="0"/>
        <v>Construção e Reforma de Edifícios-L</v>
      </c>
      <c r="E6" s="43">
        <v>0.0616</v>
      </c>
      <c r="F6" s="43">
        <v>0.07400000000000001</v>
      </c>
      <c r="G6" s="43">
        <v>0.08960000000000001</v>
      </c>
      <c r="H6" s="318" t="s">
        <v>85</v>
      </c>
      <c r="I6" s="319"/>
      <c r="J6" s="319"/>
      <c r="K6" s="319"/>
      <c r="L6" s="319"/>
      <c r="M6" s="319"/>
      <c r="N6" s="319"/>
      <c r="O6" s="320"/>
      <c r="P6" s="318" t="s">
        <v>86</v>
      </c>
      <c r="Q6" s="320"/>
    </row>
    <row r="7" spans="1:17" ht="12.75">
      <c r="A7" s="22" t="str">
        <f>A6</f>
        <v>Construção e Reforma de Edifícios</v>
      </c>
      <c r="B7" s="45" t="s">
        <v>127</v>
      </c>
      <c r="C7" s="22" t="str">
        <f t="shared" si="0"/>
        <v>Construção e Reforma de Edifícios-BDI PAD</v>
      </c>
      <c r="E7" s="43">
        <v>0.2034</v>
      </c>
      <c r="F7" s="43">
        <v>0.2212</v>
      </c>
      <c r="G7" s="43">
        <v>0.25</v>
      </c>
      <c r="H7" s="315" t="s">
        <v>87</v>
      </c>
      <c r="I7" s="316"/>
      <c r="J7" s="316"/>
      <c r="K7" s="316"/>
      <c r="L7" s="316"/>
      <c r="M7" s="316"/>
      <c r="N7" s="316"/>
      <c r="O7" s="317"/>
      <c r="P7" s="355" t="s">
        <v>169</v>
      </c>
      <c r="Q7" s="356"/>
    </row>
    <row r="8" spans="1:15" ht="12.75">
      <c r="A8" s="22" t="s">
        <v>87</v>
      </c>
      <c r="B8" s="42" t="s">
        <v>135</v>
      </c>
      <c r="C8" s="22" t="str">
        <f t="shared" si="0"/>
        <v>Construção de Praças Urbanas, Rodovias, Ferrovias e recapeamento e pavimentação de vias urbanas-AC</v>
      </c>
      <c r="E8" s="43">
        <v>0.038</v>
      </c>
      <c r="F8" s="43">
        <v>0.0401</v>
      </c>
      <c r="G8" s="43">
        <v>0.0467</v>
      </c>
      <c r="H8" s="34"/>
      <c r="I8" s="34"/>
      <c r="J8" s="34"/>
      <c r="K8" s="34"/>
      <c r="L8" s="34"/>
      <c r="M8" s="34"/>
      <c r="N8" s="34"/>
      <c r="O8" s="34"/>
    </row>
    <row r="9" spans="1:17" ht="12.75">
      <c r="A9" s="22" t="s">
        <v>87</v>
      </c>
      <c r="B9" s="42" t="s">
        <v>136</v>
      </c>
      <c r="C9" s="22" t="str">
        <f t="shared" si="0"/>
        <v>Construção de Praças Urbanas, Rodovias, Ferrovias e recapeamento e pavimentação de vias urbanas-SG</v>
      </c>
      <c r="E9" s="43">
        <v>0.0032</v>
      </c>
      <c r="F9" s="43">
        <v>0.004</v>
      </c>
      <c r="G9" s="43">
        <v>0.0074</v>
      </c>
      <c r="H9" s="357" t="s">
        <v>88</v>
      </c>
      <c r="I9" s="358"/>
      <c r="J9" s="358"/>
      <c r="K9" s="358"/>
      <c r="L9" s="358"/>
      <c r="M9" s="358"/>
      <c r="N9" s="358"/>
      <c r="O9" s="359"/>
      <c r="P9" s="328">
        <v>1</v>
      </c>
      <c r="Q9" s="329"/>
    </row>
    <row r="10" spans="1:17" ht="12.75">
      <c r="A10" s="22" t="s">
        <v>87</v>
      </c>
      <c r="B10" s="42" t="s">
        <v>137</v>
      </c>
      <c r="C10" s="22" t="str">
        <f t="shared" si="0"/>
        <v>Construção de Praças Urbanas, Rodovias, Ferrovias e recapeamento e pavimentação de vias urbanas-R</v>
      </c>
      <c r="E10" s="43">
        <v>0.005</v>
      </c>
      <c r="F10" s="43">
        <v>0.005600000000000001</v>
      </c>
      <c r="G10" s="43">
        <v>0.0097</v>
      </c>
      <c r="H10" s="365" t="s">
        <v>89</v>
      </c>
      <c r="I10" s="366"/>
      <c r="J10" s="366"/>
      <c r="K10" s="366"/>
      <c r="L10" s="366"/>
      <c r="M10" s="366"/>
      <c r="N10" s="366"/>
      <c r="O10" s="367"/>
      <c r="P10" s="328">
        <v>0.025</v>
      </c>
      <c r="Q10" s="329"/>
    </row>
    <row r="11" spans="1:7" ht="12.75">
      <c r="A11" s="22" t="s">
        <v>87</v>
      </c>
      <c r="B11" s="42" t="s">
        <v>138</v>
      </c>
      <c r="C11" s="22" t="str">
        <f t="shared" si="0"/>
        <v>Construção de Praças Urbanas, Rodovias, Ferrovias e recapeamento e pavimentação de vias urbanas-DF</v>
      </c>
      <c r="E11" s="43">
        <v>0.0102</v>
      </c>
      <c r="F11" s="43">
        <v>0.0111</v>
      </c>
      <c r="G11" s="43">
        <v>0.0121</v>
      </c>
    </row>
    <row r="12" spans="1:17" ht="12.75">
      <c r="A12" s="22" t="s">
        <v>87</v>
      </c>
      <c r="B12" s="42" t="s">
        <v>139</v>
      </c>
      <c r="C12" s="22" t="str">
        <f t="shared" si="0"/>
        <v>Construção de Praças Urbanas, Rodovias, Ferrovias e recapeamento e pavimentação de vias urbanas-L</v>
      </c>
      <c r="E12" s="43">
        <v>0.0664</v>
      </c>
      <c r="F12" s="43">
        <v>0.073</v>
      </c>
      <c r="G12" s="43">
        <v>0.08689999999999999</v>
      </c>
      <c r="H12" s="347" t="s">
        <v>90</v>
      </c>
      <c r="I12" s="348"/>
      <c r="J12" s="348"/>
      <c r="K12" s="349"/>
      <c r="L12" s="353" t="s">
        <v>71</v>
      </c>
      <c r="M12" s="321" t="s">
        <v>72</v>
      </c>
      <c r="N12" s="323" t="s">
        <v>73</v>
      </c>
      <c r="O12" s="325" t="s">
        <v>74</v>
      </c>
      <c r="P12" s="326"/>
      <c r="Q12" s="327"/>
    </row>
    <row r="13" spans="1:17" ht="18" customHeight="1">
      <c r="A13" s="22" t="s">
        <v>87</v>
      </c>
      <c r="B13" s="45" t="s">
        <v>127</v>
      </c>
      <c r="C13" s="22" t="str">
        <f t="shared" si="0"/>
        <v>Construção de Praças Urbanas, Rodovias, Ferrovias e recapeamento e pavimentação de vias urbanas-BDI PAD</v>
      </c>
      <c r="E13" s="43">
        <v>0.196</v>
      </c>
      <c r="F13" s="43">
        <v>0.2097</v>
      </c>
      <c r="G13" s="43">
        <v>0.24230000000000002</v>
      </c>
      <c r="H13" s="350"/>
      <c r="I13" s="351"/>
      <c r="J13" s="351"/>
      <c r="K13" s="352"/>
      <c r="L13" s="354"/>
      <c r="M13" s="322"/>
      <c r="N13" s="324"/>
      <c r="O13" s="23" t="s">
        <v>75</v>
      </c>
      <c r="P13" s="23" t="s">
        <v>76</v>
      </c>
      <c r="Q13" s="23" t="s">
        <v>77</v>
      </c>
    </row>
    <row r="14" spans="1:17" ht="18" customHeight="1">
      <c r="A14" s="22" t="s">
        <v>140</v>
      </c>
      <c r="B14" s="42" t="s">
        <v>135</v>
      </c>
      <c r="C14" s="22" t="str">
        <f t="shared" si="0"/>
        <v>Construção de Redes de Abastecimento de Água, Coleta de Esgoto-AC</v>
      </c>
      <c r="E14" s="43">
        <v>0.034300000000000004</v>
      </c>
      <c r="F14" s="43">
        <v>0.0493</v>
      </c>
      <c r="G14" s="43">
        <v>0.06709999999999999</v>
      </c>
      <c r="H14" s="330" t="str">
        <f>IF($H$7=$A$33,"Encargos Sociais incidentes sobre a mão de obra","Administração Central")</f>
        <v>Administração Central</v>
      </c>
      <c r="I14" s="331"/>
      <c r="J14" s="331"/>
      <c r="K14" s="332"/>
      <c r="L14" s="24" t="str">
        <f>IF($H$7=$A$33,"K1","AC")</f>
        <v>AC</v>
      </c>
      <c r="M14" s="25">
        <v>0.0467</v>
      </c>
      <c r="N14" s="26" t="s">
        <v>43</v>
      </c>
      <c r="O14" s="27">
        <f>VLOOKUP(CONCATENATE(H$7,"-",L14),$C$2:$G$30,3,FALSE)</f>
        <v>0.038</v>
      </c>
      <c r="P14" s="27">
        <f>VLOOKUP(CONCATENATE(H$7,"-",L14),$C$2:$G$30,4,FALSE)</f>
        <v>0.0401</v>
      </c>
      <c r="Q14" s="27">
        <f>VLOOKUP(CONCATENATE(H$7,"-",L14),$C$2:$G$30,5,FALSE)</f>
        <v>0.0467</v>
      </c>
    </row>
    <row r="15" spans="1:17" ht="13.5">
      <c r="A15" s="22" t="str">
        <f>A14</f>
        <v>Construção de Redes de Abastecimento de Água, Coleta de Esgoto</v>
      </c>
      <c r="B15" s="42" t="s">
        <v>136</v>
      </c>
      <c r="C15" s="22" t="str">
        <f t="shared" si="0"/>
        <v>Construção de Redes de Abastecimento de Água, Coleta de Esgoto-SG</v>
      </c>
      <c r="E15" s="43">
        <v>0.0028000000000000004</v>
      </c>
      <c r="F15" s="43">
        <v>0.0049</v>
      </c>
      <c r="G15" s="43">
        <v>0.0075</v>
      </c>
      <c r="H15" s="330" t="str">
        <f>IF($H$7=$A$33,"Administração Central da empresa ou consultoria - overhead","Seguro e Garantia")</f>
        <v>Seguro e Garantia</v>
      </c>
      <c r="I15" s="331"/>
      <c r="J15" s="331"/>
      <c r="K15" s="332"/>
      <c r="L15" s="24" t="str">
        <f>IF($H$7=$A$33,"K2","SG")</f>
        <v>SG</v>
      </c>
      <c r="M15" s="25">
        <v>0.0074</v>
      </c>
      <c r="N15" s="26" t="s">
        <v>43</v>
      </c>
      <c r="O15" s="27">
        <f>VLOOKUP(CONCATENATE(H$7,"-",L15),$C$2:$G$30,3,FALSE)</f>
        <v>0.0032</v>
      </c>
      <c r="P15" s="27">
        <f>VLOOKUP(CONCATENATE(H$7,"-",L15),$C$2:$G$30,4,FALSE)</f>
        <v>0.004</v>
      </c>
      <c r="Q15" s="27">
        <f>VLOOKUP(CONCATENATE(H$7,"-",L15),$C$2:$G$30,5,FALSE)</f>
        <v>0.0074</v>
      </c>
    </row>
    <row r="16" spans="2:17" ht="12.75" customHeight="1">
      <c r="B16" s="42"/>
      <c r="E16" s="43"/>
      <c r="F16" s="43"/>
      <c r="G16" s="43"/>
      <c r="H16" s="330" t="str">
        <f>IF($H$7=$A$33,"","Risco")</f>
        <v>Risco</v>
      </c>
      <c r="I16" s="331"/>
      <c r="J16" s="331"/>
      <c r="K16" s="332"/>
      <c r="L16" s="24" t="str">
        <f>IF($H$7=$A$33,"","R")</f>
        <v>R</v>
      </c>
      <c r="M16" s="25">
        <v>0.0097</v>
      </c>
      <c r="N16" s="26" t="s">
        <v>43</v>
      </c>
      <c r="O16" s="27">
        <f>VLOOKUP(CONCATENATE(H$7,"-",L16),$C$2:$G$30,3,FALSE)</f>
        <v>0.005</v>
      </c>
      <c r="P16" s="27">
        <f>VLOOKUP(CONCATENATE(H$7,"-",L16),$C$2:$G$30,4,FALSE)</f>
        <v>0.005600000000000001</v>
      </c>
      <c r="Q16" s="27">
        <f>VLOOKUP(CONCATENATE(H$7,"-",L16),$C$2:$G$30,5,FALSE)</f>
        <v>0.0097</v>
      </c>
    </row>
    <row r="17" spans="1:17" ht="13.5">
      <c r="A17" s="22" t="str">
        <f>A15</f>
        <v>Construção de Redes de Abastecimento de Água, Coleta de Esgoto</v>
      </c>
      <c r="B17" s="42" t="s">
        <v>137</v>
      </c>
      <c r="C17" s="22" t="str">
        <f aca="true" t="shared" si="1" ref="C17:C29">CONCATENATE(A17,"-",B17)</f>
        <v>Construção de Redes de Abastecimento de Água, Coleta de Esgoto-R</v>
      </c>
      <c r="E17" s="43">
        <v>0.01</v>
      </c>
      <c r="F17" s="43">
        <v>0.0139</v>
      </c>
      <c r="G17" s="43">
        <v>0.0174</v>
      </c>
      <c r="H17" s="330" t="str">
        <f>IF($H$7=$A$33,"","Despesas Financeiras")</f>
        <v>Despesas Financeiras</v>
      </c>
      <c r="I17" s="331"/>
      <c r="J17" s="331"/>
      <c r="K17" s="332"/>
      <c r="L17" s="24" t="str">
        <f>IF($H$7=$A$33,"","DF")</f>
        <v>DF</v>
      </c>
      <c r="M17" s="25">
        <v>0.0121</v>
      </c>
      <c r="N17" s="26" t="s">
        <v>43</v>
      </c>
      <c r="O17" s="27">
        <f>VLOOKUP(CONCATENATE(H$7,"-",L17),$C$2:$G$30,3,FALSE)</f>
        <v>0.0102</v>
      </c>
      <c r="P17" s="27">
        <f>VLOOKUP(CONCATENATE(H$7,"-",L17),$C$2:$G$30,4,FALSE)</f>
        <v>0.0111</v>
      </c>
      <c r="Q17" s="27">
        <f>VLOOKUP(CONCATENATE(H$7,"-",L17),$C$2:$G$30,5,FALSE)</f>
        <v>0.0121</v>
      </c>
    </row>
    <row r="18" spans="1:17" ht="15" customHeight="1">
      <c r="A18" s="22" t="str">
        <f>A17</f>
        <v>Construção de Redes de Abastecimento de Água, Coleta de Esgoto</v>
      </c>
      <c r="B18" s="42" t="s">
        <v>138</v>
      </c>
      <c r="C18" s="22" t="str">
        <f t="shared" si="1"/>
        <v>Construção de Redes de Abastecimento de Água, Coleta de Esgoto-DF</v>
      </c>
      <c r="E18" s="43">
        <v>0.009399999999999999</v>
      </c>
      <c r="F18" s="43">
        <v>0.009899999999999999</v>
      </c>
      <c r="G18" s="43">
        <v>0.011699999999999999</v>
      </c>
      <c r="H18" s="330" t="str">
        <f>IF($H$7=$A$33,"Margem bruta da empresa de consultoria","Lucro")</f>
        <v>Lucro</v>
      </c>
      <c r="I18" s="331"/>
      <c r="J18" s="331"/>
      <c r="K18" s="332"/>
      <c r="L18" s="24" t="str">
        <f>IF($H$7=$A$33,"K3","L")</f>
        <v>L</v>
      </c>
      <c r="M18" s="25">
        <v>0.0788</v>
      </c>
      <c r="N18" s="26" t="s">
        <v>43</v>
      </c>
      <c r="O18" s="27">
        <f>VLOOKUP(CONCATENATE(H$7,"-",L18),$C$2:$G$30,3,FALSE)</f>
        <v>0.0664</v>
      </c>
      <c r="P18" s="27">
        <f>VLOOKUP(CONCATENATE(H$7,"-",L18),$C$2:$G$30,4,FALSE)</f>
        <v>0.073</v>
      </c>
      <c r="Q18" s="27">
        <f>VLOOKUP(CONCATENATE(H$7,"-",L18),$C$2:$G$30,5,FALSE)</f>
        <v>0.08689999999999999</v>
      </c>
    </row>
    <row r="19" spans="1:17" ht="15" customHeight="1">
      <c r="A19" s="22" t="str">
        <f>A18</f>
        <v>Construção de Redes de Abastecimento de Água, Coleta de Esgoto</v>
      </c>
      <c r="B19" s="42" t="s">
        <v>139</v>
      </c>
      <c r="C19" s="22" t="str">
        <f t="shared" si="1"/>
        <v>Construção de Redes de Abastecimento de Água, Coleta de Esgoto-L</v>
      </c>
      <c r="E19" s="43">
        <v>0.0674</v>
      </c>
      <c r="F19" s="43">
        <v>0.08039999999999999</v>
      </c>
      <c r="G19" s="43">
        <v>0.094</v>
      </c>
      <c r="H19" s="330" t="s">
        <v>78</v>
      </c>
      <c r="I19" s="331"/>
      <c r="J19" s="331"/>
      <c r="K19" s="332"/>
      <c r="L19" s="24" t="s">
        <v>91</v>
      </c>
      <c r="M19" s="25">
        <v>0.0365</v>
      </c>
      <c r="N19" s="26" t="s">
        <v>43</v>
      </c>
      <c r="O19" s="27">
        <v>0.0365</v>
      </c>
      <c r="P19" s="27">
        <v>0.0365</v>
      </c>
      <c r="Q19" s="27">
        <v>0.0365</v>
      </c>
    </row>
    <row r="20" spans="1:17" ht="27.75" customHeight="1">
      <c r="A20" s="22" t="str">
        <f>A19</f>
        <v>Construção de Redes de Abastecimento de Água, Coleta de Esgoto</v>
      </c>
      <c r="B20" s="45" t="s">
        <v>127</v>
      </c>
      <c r="C20" s="22" t="str">
        <f t="shared" si="1"/>
        <v>Construção de Redes de Abastecimento de Água, Coleta de Esgoto-BDI PAD</v>
      </c>
      <c r="E20" s="43">
        <v>0.2076</v>
      </c>
      <c r="F20" s="43">
        <v>0.2418</v>
      </c>
      <c r="G20" s="43">
        <v>0.2644</v>
      </c>
      <c r="H20" s="330" t="s">
        <v>79</v>
      </c>
      <c r="I20" s="331"/>
      <c r="J20" s="331"/>
      <c r="K20" s="332"/>
      <c r="L20" s="24" t="s">
        <v>92</v>
      </c>
      <c r="M20" s="27">
        <v>0.025</v>
      </c>
      <c r="N20" s="26" t="s">
        <v>43</v>
      </c>
      <c r="O20" s="27">
        <v>0</v>
      </c>
      <c r="P20" s="27">
        <v>0.025</v>
      </c>
      <c r="Q20" s="27">
        <v>0.05</v>
      </c>
    </row>
    <row r="21" spans="1:17" ht="38.25" customHeight="1">
      <c r="A21" s="22" t="s">
        <v>141</v>
      </c>
      <c r="B21" s="42" t="s">
        <v>135</v>
      </c>
      <c r="C21" s="22" t="str">
        <f t="shared" si="1"/>
        <v>Construção e Manutenção de Estações e Redes de Distribuição de Energia Elétrica-AC</v>
      </c>
      <c r="E21" s="43">
        <v>0.0529</v>
      </c>
      <c r="F21" s="43">
        <v>0.0592</v>
      </c>
      <c r="G21" s="43">
        <v>0.0793</v>
      </c>
      <c r="H21" s="330" t="s">
        <v>80</v>
      </c>
      <c r="I21" s="331"/>
      <c r="J21" s="331"/>
      <c r="K21" s="332"/>
      <c r="L21" s="24" t="s">
        <v>81</v>
      </c>
      <c r="M21" s="27">
        <f>IF(P7="Sim",4.5%,0%)</f>
        <v>0.045</v>
      </c>
      <c r="N21" s="26" t="str">
        <f>IF(AND(M21&gt;=O21,M21&lt;=Q21),"OK","Não OK")</f>
        <v>OK</v>
      </c>
      <c r="O21" s="28">
        <v>0</v>
      </c>
      <c r="P21" s="28">
        <v>0.045</v>
      </c>
      <c r="Q21" s="28">
        <v>0.045</v>
      </c>
    </row>
    <row r="22" spans="1:20" ht="30" customHeight="1">
      <c r="A22" s="22" t="str">
        <f>A21</f>
        <v>Construção e Manutenção de Estações e Redes de Distribuição de Energia Elétrica</v>
      </c>
      <c r="B22" s="42" t="s">
        <v>136</v>
      </c>
      <c r="C22" s="22" t="str">
        <f t="shared" si="1"/>
        <v>Construção e Manutenção de Estações e Redes de Distribuição de Energia Elétrica-SG</v>
      </c>
      <c r="E22" s="43">
        <v>0.0025</v>
      </c>
      <c r="F22" s="43">
        <v>0.0051</v>
      </c>
      <c r="G22" s="43">
        <v>0.005600000000000001</v>
      </c>
      <c r="H22" s="330" t="s">
        <v>126</v>
      </c>
      <c r="I22" s="331"/>
      <c r="J22" s="331"/>
      <c r="K22" s="332"/>
      <c r="L22" s="35" t="s">
        <v>127</v>
      </c>
      <c r="M22" s="27">
        <f>ROUND((((1+M14+M15+M16)*(1+M17)*(1+M18)/(1-(M19+M20)))-1),4)</f>
        <v>0.2376</v>
      </c>
      <c r="N22" s="26" t="str">
        <f>IF(OR($H$7=$A$33,AND(M22&gt;=O22,M22&lt;=Q22)),"OK","NÃO OK")</f>
        <v>OK</v>
      </c>
      <c r="O22" s="27">
        <f>VLOOKUP(CONCATENATE($H$7,"-",$L22),$C$2:$G$30,3,FALSE)</f>
        <v>0.196</v>
      </c>
      <c r="P22" s="27">
        <f>VLOOKUP(CONCATENATE($H$7,"-",$L22),$C$2:$G$30,4,FALSE)</f>
        <v>0.2097</v>
      </c>
      <c r="Q22" s="27">
        <f>VLOOKUP(CONCATENATE($H$7,"-",$L22),$C$2:$G$30,5,FALSE)</f>
        <v>0.24230000000000002</v>
      </c>
      <c r="T22" s="46"/>
    </row>
    <row r="23" spans="1:20" ht="13.5">
      <c r="A23" s="22" t="str">
        <f>A22</f>
        <v>Construção e Manutenção de Estações e Redes de Distribuição de Energia Elétrica</v>
      </c>
      <c r="B23" s="42" t="s">
        <v>137</v>
      </c>
      <c r="C23" s="22" t="str">
        <f t="shared" si="1"/>
        <v>Construção e Manutenção de Estações e Redes de Distribuição de Energia Elétrica-R</v>
      </c>
      <c r="E23" s="43">
        <v>0.01</v>
      </c>
      <c r="F23" s="43">
        <v>0.0148</v>
      </c>
      <c r="G23" s="43">
        <v>0.0197</v>
      </c>
      <c r="H23" s="368" t="s">
        <v>128</v>
      </c>
      <c r="I23" s="368"/>
      <c r="J23" s="368"/>
      <c r="K23" s="368"/>
      <c r="L23" s="36" t="s">
        <v>129</v>
      </c>
      <c r="M23" s="37">
        <f>ROUND((((1+M14+M15+M16)*(1+M17)*(1+M18)/(1-(M19+M20+M21)))-1),4)</f>
        <v>0.3</v>
      </c>
      <c r="N23" s="38" t="str">
        <f>IF(P7&lt;&gt;"Sim","",IF(COUNTIF($N$14:$N$22,"NÃO OK")&gt;0,"NÃO OK","OK"))</f>
        <v>OK</v>
      </c>
      <c r="O23" s="40"/>
      <c r="P23" s="40"/>
      <c r="Q23" s="40"/>
      <c r="T23" s="46"/>
    </row>
    <row r="24" spans="1:7" ht="26.25" customHeight="1">
      <c r="A24" s="22" t="str">
        <f>A23</f>
        <v>Construção e Manutenção de Estações e Redes de Distribuição de Energia Elétrica</v>
      </c>
      <c r="B24" s="42" t="s">
        <v>138</v>
      </c>
      <c r="C24" s="22" t="str">
        <f t="shared" si="1"/>
        <v>Construção e Manutenção de Estações e Redes de Distribuição de Energia Elétrica-DF</v>
      </c>
      <c r="E24" s="43">
        <v>0.0101</v>
      </c>
      <c r="F24" s="43">
        <v>0.010700000000000001</v>
      </c>
      <c r="G24" s="43">
        <v>0.0111</v>
      </c>
    </row>
    <row r="25" spans="1:17" ht="12.75">
      <c r="A25" s="22" t="str">
        <f>A24</f>
        <v>Construção e Manutenção de Estações e Redes de Distribuição de Energia Elétrica</v>
      </c>
      <c r="B25" s="42" t="s">
        <v>139</v>
      </c>
      <c r="C25" s="22" t="str">
        <f t="shared" si="1"/>
        <v>Construção e Manutenção de Estações e Redes de Distribuição de Energia Elétrica-L</v>
      </c>
      <c r="E25" s="43">
        <v>0.08</v>
      </c>
      <c r="F25" s="43">
        <v>0.08310000000000001</v>
      </c>
      <c r="G25" s="43">
        <v>0.0951</v>
      </c>
      <c r="H25" s="369" t="s">
        <v>93</v>
      </c>
      <c r="I25" s="369"/>
      <c r="J25" s="369"/>
      <c r="K25" s="369"/>
      <c r="L25" s="369"/>
      <c r="M25" s="369"/>
      <c r="N25" s="369"/>
      <c r="O25" s="369"/>
      <c r="P25" s="369"/>
      <c r="Q25" s="369"/>
    </row>
    <row r="26" spans="1:17" ht="27.75" customHeight="1">
      <c r="A26" s="22" t="str">
        <f>A25</f>
        <v>Construção e Manutenção de Estações e Redes de Distribuição de Energia Elétrica</v>
      </c>
      <c r="B26" s="45" t="s">
        <v>127</v>
      </c>
      <c r="C26" s="22" t="str">
        <f t="shared" si="1"/>
        <v>Construção e Manutenção de Estações e Redes de Distribuição de Energia Elétrica-BDI PAD</v>
      </c>
      <c r="E26" s="43">
        <v>0.24</v>
      </c>
      <c r="F26" s="43">
        <v>0.2584</v>
      </c>
      <c r="G26" s="43">
        <v>0.2786</v>
      </c>
      <c r="H26" s="39"/>
      <c r="I26" s="39"/>
      <c r="J26" s="39"/>
      <c r="K26" s="360" t="str">
        <f>IF(P7="Sim","BDI.DES =","BDI.PAD =")</f>
        <v>BDI.DES =</v>
      </c>
      <c r="L26" s="361" t="str">
        <f>IF($H$7=$A$33,"(1+K1+K2)*(1+K3)","(1+AC + S + R + G)*(1 + DF)*(1+L)")</f>
        <v>(1+AC + S + R + G)*(1 + DF)*(1+L)</v>
      </c>
      <c r="M26" s="361"/>
      <c r="N26" s="361"/>
      <c r="O26" s="362" t="s">
        <v>130</v>
      </c>
      <c r="P26" s="39"/>
      <c r="Q26" s="39"/>
    </row>
    <row r="27" spans="1:17" ht="15" customHeight="1">
      <c r="A27" s="22" t="s">
        <v>142</v>
      </c>
      <c r="B27" s="42" t="s">
        <v>135</v>
      </c>
      <c r="C27" s="22" t="str">
        <f t="shared" si="1"/>
        <v>Obras Portuárias, Marítimas e Fluviais-AC</v>
      </c>
      <c r="E27" s="43">
        <v>0.04</v>
      </c>
      <c r="F27" s="43">
        <v>0.0552</v>
      </c>
      <c r="G27" s="43">
        <v>0.0785</v>
      </c>
      <c r="H27" s="39"/>
      <c r="I27" s="39"/>
      <c r="J27" s="39"/>
      <c r="K27" s="360"/>
      <c r="L27" s="364" t="str">
        <f>IF(P7="Sim","(1-CP-ISS-CRPB)","(1-CP-ISS)")</f>
        <v>(1-CP-ISS-CRPB)</v>
      </c>
      <c r="M27" s="364"/>
      <c r="N27" s="364"/>
      <c r="O27" s="363"/>
      <c r="P27" s="39"/>
      <c r="Q27" s="39"/>
    </row>
    <row r="28" spans="1:7" ht="12.75">
      <c r="A28" s="22" t="str">
        <f>A27</f>
        <v>Obras Portuárias, Marítimas e Fluviais</v>
      </c>
      <c r="B28" s="42" t="s">
        <v>136</v>
      </c>
      <c r="C28" s="22" t="str">
        <f t="shared" si="1"/>
        <v>Obras Portuárias, Marítimas e Fluviais-SG</v>
      </c>
      <c r="E28" s="43">
        <v>0.008100000000000001</v>
      </c>
      <c r="F28" s="43">
        <v>0.012199999999999999</v>
      </c>
      <c r="G28" s="43">
        <v>0.0199</v>
      </c>
    </row>
    <row r="29" spans="1:11" ht="12.75">
      <c r="A29" s="22" t="str">
        <f>A28</f>
        <v>Obras Portuárias, Marítimas e Fluviais</v>
      </c>
      <c r="B29" s="42" t="s">
        <v>137</v>
      </c>
      <c r="C29" s="22" t="str">
        <f t="shared" si="1"/>
        <v>Obras Portuárias, Marítimas e Fluviais-R</v>
      </c>
      <c r="E29" s="43">
        <v>0.0146</v>
      </c>
      <c r="F29" s="43">
        <v>0.0232</v>
      </c>
      <c r="G29" s="43">
        <v>0.0316</v>
      </c>
      <c r="I29" s="314" t="s">
        <v>266</v>
      </c>
      <c r="J29" s="314"/>
      <c r="K29" s="314"/>
    </row>
    <row r="30" spans="2:10" ht="12.75">
      <c r="B30" s="42"/>
      <c r="E30" s="43"/>
      <c r="F30" s="43"/>
      <c r="G30" s="43"/>
      <c r="I30"/>
      <c r="J30"/>
    </row>
    <row r="31" ht="12.75">
      <c r="A31" s="22" t="s">
        <v>142</v>
      </c>
    </row>
    <row r="32" ht="12.75">
      <c r="A32" s="22" t="s">
        <v>143</v>
      </c>
    </row>
    <row r="33" ht="12.75">
      <c r="A33" s="22" t="s">
        <v>144</v>
      </c>
    </row>
    <row r="34" spans="1:7" ht="13.5">
      <c r="A34" s="48"/>
      <c r="B34" s="47"/>
      <c r="C34" s="47"/>
      <c r="D34" s="47"/>
      <c r="E34" s="47"/>
      <c r="F34" s="47"/>
      <c r="G34" s="47"/>
    </row>
  </sheetData>
  <sheetProtection/>
  <protectedRanges>
    <protectedRange sqref="H5 J5 M14:M19 H7 P7 P9:P10" name="Intervalo1_1"/>
  </protectedRanges>
  <mergeCells count="34">
    <mergeCell ref="H14:K14"/>
    <mergeCell ref="H10:O10"/>
    <mergeCell ref="H23:K23"/>
    <mergeCell ref="H25:Q25"/>
    <mergeCell ref="H21:K21"/>
    <mergeCell ref="H22:K22"/>
    <mergeCell ref="H16:K16"/>
    <mergeCell ref="H17:K17"/>
    <mergeCell ref="H18:K18"/>
    <mergeCell ref="K26:K27"/>
    <mergeCell ref="L26:N26"/>
    <mergeCell ref="O26:O27"/>
    <mergeCell ref="L27:N27"/>
    <mergeCell ref="H19:K19"/>
    <mergeCell ref="H20:K20"/>
    <mergeCell ref="H1:Q1"/>
    <mergeCell ref="H2:Q2"/>
    <mergeCell ref="H3:Q3"/>
    <mergeCell ref="H4:Q4"/>
    <mergeCell ref="H5:Q5"/>
    <mergeCell ref="H12:K13"/>
    <mergeCell ref="L12:L13"/>
    <mergeCell ref="P7:Q7"/>
    <mergeCell ref="H9:O9"/>
    <mergeCell ref="P9:Q9"/>
    <mergeCell ref="I29:K29"/>
    <mergeCell ref="H7:O7"/>
    <mergeCell ref="H6:O6"/>
    <mergeCell ref="P6:Q6"/>
    <mergeCell ref="M12:M13"/>
    <mergeCell ref="N12:N13"/>
    <mergeCell ref="O12:Q12"/>
    <mergeCell ref="P10:Q10"/>
    <mergeCell ref="H15:K15"/>
  </mergeCells>
  <conditionalFormatting sqref="N14:N23">
    <cfRule type="cellIs" priority="7" dxfId="30" operator="equal" stopIfTrue="1">
      <formula>"NÃO OK"</formula>
    </cfRule>
    <cfRule type="cellIs" priority="8" dxfId="31" operator="equal" stopIfTrue="1">
      <formula>"OK"</formula>
    </cfRule>
  </conditionalFormatting>
  <conditionalFormatting sqref="H22 L22:M22">
    <cfRule type="expression" priority="6" dxfId="3" stopIfTrue="1">
      <formula>$P$7="Não"</formula>
    </cfRule>
  </conditionalFormatting>
  <conditionalFormatting sqref="H23 L23:M23">
    <cfRule type="expression" priority="5" dxfId="32" stopIfTrue="1">
      <formula>$P$7="sim"</formula>
    </cfRule>
  </conditionalFormatting>
  <conditionalFormatting sqref="O23:Q23">
    <cfRule type="expression" priority="4" dxfId="29" stopIfTrue="1">
      <formula>$P$7="sim"</formula>
    </cfRule>
  </conditionalFormatting>
  <conditionalFormatting sqref="H9:H10 P9:P10">
    <cfRule type="expression" priority="54" dxfId="0" stopIfTrue="1">
      <formula>$H$7=$A$32</formula>
    </cfRule>
  </conditionalFormatting>
  <dataValidations count="7">
    <dataValidation type="list" allowBlank="1" showInputMessage="1" showErrorMessage="1" sqref="P7">
      <formula1>"Sim,Não"</formula1>
    </dataValidation>
    <dataValidation type="list" allowBlank="1" showInputMessage="1" showErrorMessage="1" sqref="H7">
      <formula1>$A$31:$A$33</formula1>
    </dataValidation>
    <dataValidation operator="greaterThanOrEqual" allowBlank="1" showInputMessage="1" showErrorMessage="1" errorTitle="Erro de valores" error="Digite um valor igual a 0% ou 2%." sqref="M21"/>
    <dataValidation type="decimal" allowBlank="1" showInputMessage="1" showErrorMessage="1" errorTitle="Erro de valores" error="Digite um valor maior do que 0." sqref="M20">
      <formula1>0</formula1>
      <formula2>1</formula2>
    </dataValidation>
    <dataValidation type="decimal" allowBlank="1" showInputMessage="1" showErrorMessage="1" promptTitle="Valores admissíveis:" prompt="Insira valores entre 0 e 100%." errorTitle="Valor não permitido" error="Digite um percentual entre 0% e 100%." sqref="P9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P10">
      <formula1>0</formula1>
    </dataValidation>
    <dataValidation type="decimal" allowBlank="1" showInputMessage="1" showErrorMessage="1" errorTitle="Erro de valores" error="Digite um valor entre 0% e 100%" sqref="M14:M19">
      <formula1>0</formula1>
      <formula2>1</formula2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1"/>
  <headerFooter>
    <oddHeader>&amp;L&amp;"Arial,Negrito"&amp;ESTADO DO RIO GRANDE DO SUL
MUNICÍPIO DE TENENTE PORTELAᄌ&amp;R&amp;"Arial,Negrito"&amp;PROCESSO LICITATÓRIO Nr. 112/2017
Modalidade RDC Nr. 01/2017娱</oddHeader>
  </headerFooter>
  <ignoredErrors>
    <ignoredError sqref="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Setor de Engenharia</dc:creator>
  <cp:keywords/>
  <dc:description/>
  <cp:lastModifiedBy>Meus Documentos</cp:lastModifiedBy>
  <cp:lastPrinted>2017-07-04T17:21:48Z</cp:lastPrinted>
  <dcterms:created xsi:type="dcterms:W3CDTF">2004-03-03T01:33:17Z</dcterms:created>
  <dcterms:modified xsi:type="dcterms:W3CDTF">2017-07-04T17:21:59Z</dcterms:modified>
  <cp:category/>
  <cp:version/>
  <cp:contentType/>
  <cp:contentStatus/>
</cp:coreProperties>
</file>